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hidePivotFieldList="1"/>
  <mc:AlternateContent xmlns:mc="http://schemas.openxmlformats.org/markup-compatibility/2006">
    <mc:Choice Requires="x15">
      <x15ac:absPath xmlns:x15ac="http://schemas.microsoft.com/office/spreadsheetml/2010/11/ac" url="C:\Users\josep\OneDrive\Desktop\nuevo todo seguimiento al plan\informe 2025 - 2\formatos\"/>
    </mc:Choice>
  </mc:AlternateContent>
  <xr:revisionPtr revIDLastSave="0" documentId="13_ncr:1_{3CC28C78-C606-4640-BE2B-CA09A602F1FE}" xr6:coauthVersionLast="47" xr6:coauthVersionMax="47" xr10:uidLastSave="{00000000-0000-0000-0000-000000000000}"/>
  <bookViews>
    <workbookView xWindow="-120" yWindow="-120" windowWidth="29040" windowHeight="15720" firstSheet="3" activeTab="3" xr2:uid="{00000000-000D-0000-FFFF-FFFF00000000}"/>
  </bookViews>
  <sheets>
    <sheet name="Detallado del Gasto 2025-1" sheetId="6" state="hidden" r:id="rId1"/>
    <sheet name="Anexo 2024" sheetId="7" state="hidden" r:id="rId2"/>
    <sheet name="MATRIZ DE ACCIONES OPERATIVAS" sheetId="8" state="hidden" r:id="rId3"/>
    <sheet name="PAC 2024-2027" sheetId="1" r:id="rId4"/>
    <sheet name="PIP" sheetId="2" r:id="rId5"/>
    <sheet name="Articulación" sheetId="3" r:id="rId6"/>
    <sheet name="Actividades" sheetId="4" r:id="rId7"/>
    <sheet name="Hoja1" sheetId="5"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xlnm._FilterDatabase" localSheetId="6" hidden="1">Actividades!$I$1:$K$93</definedName>
    <definedName name="_xlnm._FilterDatabase" localSheetId="1" hidden="1">'Anexo 2024'!$A$2:$BK$103</definedName>
    <definedName name="_xlnm._FilterDatabase" localSheetId="5" hidden="1">Articulación!$B$3:$B$37</definedName>
    <definedName name="_xlnm._FilterDatabase" localSheetId="0" hidden="1">'Detallado del Gasto 2025-1'!$A$2:$EA$103</definedName>
    <definedName name="_xlnm._FilterDatabase" localSheetId="3" hidden="1">'PAC 2024-2027'!$A$1:$AI$79</definedName>
    <definedName name="_xlnm._FilterDatabase" localSheetId="4" hidden="1">PIP!$E$2:$G$312</definedName>
    <definedName name="_xlnm.Extract" localSheetId="4">Actividades!$D$8</definedName>
    <definedName name="_xlnm.Print_Area" localSheetId="2">'MATRIZ DE ACCIONES OPERATIVAS'!$A$1:$N$88</definedName>
    <definedName name="GASTOS" comment="OPCION SI O NO">[5]Formulas!$D$33:$D$34</definedName>
    <definedName name="Informe" comment="OPCION SI O NO">[5]Formulas!$D$33:$D$34</definedName>
    <definedName name="ing" localSheetId="1">'[6]Datos Generales'!$H$5:$H$36</definedName>
    <definedName name="ing" localSheetId="0">'[6]Datos Generales'!$H$5:$H$36</definedName>
    <definedName name="ing">'[7]Datos Generales'!$H$5:$H$36</definedName>
    <definedName name="Lista.CAR">'[8]Datos Generales'!$H$5:$H$37</definedName>
    <definedName name="Lista_CAR" localSheetId="1">'[9]Datos Generales'!$H$5:$H$36</definedName>
    <definedName name="Lista_CAR" localSheetId="0">'[9]Datos Generales'!$H$5:$H$36</definedName>
    <definedName name="Lista_CAR" localSheetId="2">'[14]Datos Generales'!$H$5:$H$37</definedName>
    <definedName name="Lista_CAR">'[10]Datos Generales'!$H$5:$H$37</definedName>
    <definedName name="PROGRAMAS">'[1]Sectores-Programas-Subprogramas'!$C$4:$D$179</definedName>
    <definedName name="REPORTE" comment="SI SE REPORTA" localSheetId="1">[9]Formulas!$F$33:$F$34</definedName>
    <definedName name="REPORTE" comment="SI SE REPORTA" localSheetId="0">[9]Formulas!$F$33:$F$34</definedName>
    <definedName name="REPORTE" localSheetId="2">#REF!</definedName>
    <definedName name="REPORTE">#REF!</definedName>
    <definedName name="secores">'[2]Sectores y Programas'!$H$5:$I$34</definedName>
    <definedName name="SECTORES">[3]!SECTOR[#Data]</definedName>
    <definedName name="SI" comment="OPCION SI O NO" localSheetId="1">[9]Formulas!$D$33:$D$34</definedName>
    <definedName name="SI" comment="OPCION SI O NO" localSheetId="0">[9]Formulas!$D$33:$D$34</definedName>
    <definedName name="SI" localSheetId="2">#REF!</definedName>
    <definedName name="SI">#REF!</definedName>
    <definedName name="Vigencias" localSheetId="1">'[11]Datos Generales'!$H$38:$H$45</definedName>
    <definedName name="Vigencias" localSheetId="0">'[11]Datos Generales'!$H$38:$H$45</definedName>
    <definedName name="Z_718D6FCC_F746_4156_AC17_F1F432F76C57_.wvu.FilterData" localSheetId="4" hidden="1">PIP!#REF!</definedName>
    <definedName name="Z_B4E0D1BA_788D_449B_94FD_5C30B3F7D18B_.wvu.FilterData" localSheetId="4" hidden="1">PIP!#REF!</definedName>
    <definedName name="Z_E25B1015_AAD3_4A6E_93C9_94756C3AC2C0_.wvu.FilterData" localSheetId="5" hidden="1">Articulación!#REF!</definedName>
    <definedName name="Z_E25B1015_AAD3_4A6E_93C9_94756C3AC2C0_.wvu.FilterData" localSheetId="4" hidden="1">PIP!#REF!</definedName>
  </definedNames>
  <calcPr calcId="191028"/>
  <customWorkbookViews>
    <customWorkbookView name="Filtro 1" guid="{E25B1015-AAD3-4A6E-93C9-94756C3AC2C0}" maximized="1" windowWidth="0" windowHeight="0" activeSheetId="0"/>
    <customWorkbookView name="Filtro 2" guid="{B4E0D1BA-788D-449B-94FD-5C30B3F7D18B}" maximized="1" windowWidth="0" windowHeight="0" activeSheetId="0"/>
    <customWorkbookView name="Filtro 3" guid="{718D6FCC-F746-4156-AC17-F1F432F76C57}" maximized="1" windowWidth="0" windowHeight="0" activeSheetId="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1" l="1"/>
  <c r="L8" i="1"/>
  <c r="L6" i="1"/>
  <c r="L4" i="1"/>
  <c r="L5" i="1"/>
  <c r="L3" i="1"/>
  <c r="N88" i="8"/>
  <c r="N86" i="8"/>
  <c r="N83" i="8"/>
  <c r="N82" i="8"/>
  <c r="N81" i="8"/>
  <c r="N80" i="8"/>
  <c r="N79" i="8"/>
  <c r="N78" i="8"/>
  <c r="N77" i="8"/>
  <c r="N76" i="8"/>
  <c r="N75" i="8"/>
  <c r="N74" i="8"/>
  <c r="N73" i="8"/>
  <c r="N72" i="8"/>
  <c r="N71" i="8"/>
  <c r="N69" i="8"/>
  <c r="N66" i="8"/>
  <c r="N65" i="8"/>
  <c r="N64" i="8"/>
  <c r="N63" i="8"/>
  <c r="N62" i="8"/>
  <c r="N61" i="8"/>
  <c r="N60" i="8"/>
  <c r="N57" i="8"/>
  <c r="N56" i="8"/>
  <c r="N55" i="8"/>
  <c r="N54" i="8"/>
  <c r="N53" i="8"/>
  <c r="N52" i="8"/>
  <c r="N51" i="8"/>
  <c r="N50" i="8"/>
  <c r="N49" i="8"/>
  <c r="N48" i="8"/>
  <c r="N47" i="8"/>
  <c r="N44" i="8"/>
  <c r="N43" i="8"/>
  <c r="N42" i="8"/>
  <c r="N36" i="8"/>
  <c r="N34" i="8"/>
  <c r="N30" i="8"/>
  <c r="N29" i="8"/>
  <c r="N28" i="8"/>
  <c r="N27" i="8"/>
  <c r="N26" i="8"/>
  <c r="N24" i="8"/>
  <c r="N23" i="8"/>
  <c r="N22" i="8"/>
  <c r="N19" i="8"/>
  <c r="N18" i="8"/>
  <c r="N17" i="8"/>
  <c r="N16" i="8"/>
  <c r="N15" i="8"/>
  <c r="N14" i="8"/>
  <c r="N10" i="8"/>
  <c r="N9" i="8"/>
  <c r="N8" i="8"/>
  <c r="N7" i="8"/>
  <c r="X77" i="1"/>
  <c r="X73" i="1"/>
  <c r="X60" i="1"/>
  <c r="X53" i="1"/>
  <c r="X50" i="1"/>
  <c r="X48" i="1"/>
  <c r="X45" i="1"/>
  <c r="X40" i="1"/>
  <c r="X37" i="1"/>
  <c r="X34" i="1"/>
  <c r="X30" i="1"/>
  <c r="X15" i="1"/>
  <c r="X11" i="1"/>
  <c r="X9" i="1"/>
  <c r="X6" i="1"/>
  <c r="X3" i="1"/>
  <c r="T78" i="1"/>
  <c r="T79" i="1"/>
  <c r="T77" i="1"/>
  <c r="T74" i="1"/>
  <c r="T75" i="1"/>
  <c r="T76" i="1"/>
  <c r="T73" i="1"/>
  <c r="T61" i="1"/>
  <c r="T62" i="1"/>
  <c r="T63" i="1"/>
  <c r="T64" i="1"/>
  <c r="T65" i="1"/>
  <c r="T66" i="1"/>
  <c r="T67" i="1"/>
  <c r="T68" i="1"/>
  <c r="T69" i="1"/>
  <c r="T70" i="1"/>
  <c r="T71" i="1"/>
  <c r="T72" i="1"/>
  <c r="T60" i="1"/>
  <c r="T54" i="1"/>
  <c r="T55" i="1"/>
  <c r="T56" i="1"/>
  <c r="T57" i="1"/>
  <c r="T58" i="1"/>
  <c r="T59" i="1"/>
  <c r="T53" i="1"/>
  <c r="T51" i="1"/>
  <c r="T52" i="1"/>
  <c r="T50" i="1"/>
  <c r="T49" i="1"/>
  <c r="T48" i="1"/>
  <c r="T46" i="1"/>
  <c r="T45" i="1"/>
  <c r="T41" i="1"/>
  <c r="T42" i="1"/>
  <c r="T43" i="1"/>
  <c r="T44" i="1"/>
  <c r="T40" i="1"/>
  <c r="T38" i="1"/>
  <c r="T39" i="1"/>
  <c r="T37" i="1"/>
  <c r="T35" i="1"/>
  <c r="T36" i="1"/>
  <c r="T34" i="1"/>
  <c r="T31" i="1"/>
  <c r="T32" i="1"/>
  <c r="T33" i="1"/>
  <c r="T30" i="1"/>
  <c r="T29" i="1"/>
  <c r="T12" i="1"/>
  <c r="T13" i="1"/>
  <c r="T14" i="1"/>
  <c r="T11" i="1"/>
  <c r="T10" i="1"/>
  <c r="T9" i="1"/>
  <c r="T7" i="1"/>
  <c r="T8" i="1"/>
  <c r="T6" i="1"/>
  <c r="T4" i="1"/>
  <c r="T5" i="1"/>
  <c r="T3" i="1"/>
  <c r="BI102" i="7"/>
  <c r="BH102" i="7"/>
  <c r="BG102" i="7"/>
  <c r="F102" i="7"/>
  <c r="BJ102" i="7" s="1"/>
  <c r="E102" i="7"/>
  <c r="D102" i="7"/>
  <c r="C102" i="7"/>
  <c r="C99" i="7" s="1"/>
  <c r="BJ101" i="7"/>
  <c r="F101" i="7"/>
  <c r="E101" i="7"/>
  <c r="BI101" i="7" s="1"/>
  <c r="D101" i="7"/>
  <c r="BH101" i="7" s="1"/>
  <c r="C101" i="7"/>
  <c r="BG101" i="7" s="1"/>
  <c r="BJ100" i="7"/>
  <c r="BI100" i="7"/>
  <c r="BH100" i="7"/>
  <c r="BG100" i="7"/>
  <c r="F100" i="7"/>
  <c r="F99" i="7" s="1"/>
  <c r="E100" i="7"/>
  <c r="D100" i="7"/>
  <c r="C100" i="7"/>
  <c r="B100" i="7"/>
  <c r="BF99" i="7"/>
  <c r="BE99" i="7"/>
  <c r="BE67" i="7" s="1"/>
  <c r="BE66" i="7" s="1"/>
  <c r="BD99" i="7"/>
  <c r="BC99" i="7"/>
  <c r="BB99" i="7"/>
  <c r="BA99" i="7"/>
  <c r="AZ99" i="7"/>
  <c r="AY99" i="7"/>
  <c r="AX99" i="7"/>
  <c r="AW99" i="7"/>
  <c r="AV99" i="7"/>
  <c r="AU99" i="7"/>
  <c r="BG99" i="7" s="1"/>
  <c r="AT99" i="7"/>
  <c r="AS99" i="7"/>
  <c r="AR99" i="7"/>
  <c r="AQ99" i="7"/>
  <c r="AP99" i="7"/>
  <c r="AO99" i="7"/>
  <c r="AN99" i="7"/>
  <c r="AM99" i="7"/>
  <c r="AL99" i="7"/>
  <c r="AK99" i="7"/>
  <c r="AJ99" i="7"/>
  <c r="AI99" i="7"/>
  <c r="AH99" i="7"/>
  <c r="AG99" i="7"/>
  <c r="AF99" i="7"/>
  <c r="AE99" i="7"/>
  <c r="AD99" i="7"/>
  <c r="AC99" i="7"/>
  <c r="AB99" i="7"/>
  <c r="AA99" i="7"/>
  <c r="Z99" i="7"/>
  <c r="Y99" i="7"/>
  <c r="X99" i="7"/>
  <c r="W99" i="7"/>
  <c r="V99" i="7"/>
  <c r="U99" i="7"/>
  <c r="U67" i="7" s="1"/>
  <c r="U66" i="7" s="1"/>
  <c r="T99" i="7"/>
  <c r="S99" i="7"/>
  <c r="R99" i="7"/>
  <c r="Q99" i="7"/>
  <c r="P99" i="7"/>
  <c r="O99" i="7"/>
  <c r="N99" i="7"/>
  <c r="M99" i="7"/>
  <c r="L99" i="7"/>
  <c r="BH99" i="7" s="1"/>
  <c r="K99" i="7"/>
  <c r="J99" i="7"/>
  <c r="I99" i="7"/>
  <c r="I67" i="7" s="1"/>
  <c r="H99" i="7"/>
  <c r="G99" i="7"/>
  <c r="D99" i="7"/>
  <c r="B99" i="7"/>
  <c r="AD98" i="7"/>
  <c r="AC98" i="7"/>
  <c r="AB98" i="7"/>
  <c r="AA98" i="7"/>
  <c r="V98" i="7"/>
  <c r="U98" i="7"/>
  <c r="T98" i="7"/>
  <c r="S98" i="7"/>
  <c r="N98" i="7"/>
  <c r="M98" i="7"/>
  <c r="BI98" i="7" s="1"/>
  <c r="L98" i="7"/>
  <c r="BH98" i="7" s="1"/>
  <c r="K98" i="7"/>
  <c r="BG98" i="7" s="1"/>
  <c r="J98" i="7"/>
  <c r="I98" i="7"/>
  <c r="H98" i="7"/>
  <c r="G98" i="7"/>
  <c r="F98" i="7"/>
  <c r="BJ98" i="7" s="1"/>
  <c r="E98" i="7"/>
  <c r="D98" i="7"/>
  <c r="C98" i="7"/>
  <c r="BJ97" i="7"/>
  <c r="BI97" i="7"/>
  <c r="BH97" i="7"/>
  <c r="BG97" i="7"/>
  <c r="BF96" i="7"/>
  <c r="BF94" i="7" s="1"/>
  <c r="BE96" i="7"/>
  <c r="BE94" i="7" s="1"/>
  <c r="BD96" i="7"/>
  <c r="BC96" i="7"/>
  <c r="J96" i="7"/>
  <c r="I96" i="7"/>
  <c r="H96" i="7"/>
  <c r="G96" i="7"/>
  <c r="F96" i="7"/>
  <c r="E96" i="7"/>
  <c r="D96" i="7"/>
  <c r="C96" i="7"/>
  <c r="BB95" i="7"/>
  <c r="BB94" i="7" s="1"/>
  <c r="BA95" i="7"/>
  <c r="AZ95" i="7"/>
  <c r="AY95" i="7"/>
  <c r="AD95" i="7"/>
  <c r="AC95" i="7"/>
  <c r="AB95" i="7"/>
  <c r="AA95" i="7"/>
  <c r="V95" i="7"/>
  <c r="U95" i="7"/>
  <c r="U94" i="7" s="1"/>
  <c r="T95" i="7"/>
  <c r="T94" i="7" s="1"/>
  <c r="T67" i="7" s="1"/>
  <c r="T66" i="7" s="1"/>
  <c r="S95" i="7"/>
  <c r="S94" i="7" s="1"/>
  <c r="N95" i="7"/>
  <c r="N94" i="7" s="1"/>
  <c r="M95" i="7"/>
  <c r="L95" i="7"/>
  <c r="K95" i="7"/>
  <c r="J95" i="7"/>
  <c r="I95" i="7"/>
  <c r="H95" i="7"/>
  <c r="G95" i="7"/>
  <c r="F95" i="7"/>
  <c r="E95" i="7"/>
  <c r="E94" i="7" s="1"/>
  <c r="D95" i="7"/>
  <c r="D94" i="7" s="1"/>
  <c r="C95" i="7"/>
  <c r="C94" i="7" s="1"/>
  <c r="B95" i="7"/>
  <c r="BD94" i="7"/>
  <c r="BC94" i="7"/>
  <c r="BA94" i="7"/>
  <c r="AZ94" i="7"/>
  <c r="AY94" i="7"/>
  <c r="AX94" i="7"/>
  <c r="AW94" i="7"/>
  <c r="AV94" i="7"/>
  <c r="AU94" i="7"/>
  <c r="AT94" i="7"/>
  <c r="AS94" i="7"/>
  <c r="AR94" i="7"/>
  <c r="AR67" i="7" s="1"/>
  <c r="AR66" i="7" s="1"/>
  <c r="AQ94" i="7"/>
  <c r="AP94" i="7"/>
  <c r="AO94" i="7"/>
  <c r="AN94" i="7"/>
  <c r="AM94" i="7"/>
  <c r="AL94" i="7"/>
  <c r="AK94" i="7"/>
  <c r="AJ94" i="7"/>
  <c r="AI94" i="7"/>
  <c r="AH94" i="7"/>
  <c r="AG94" i="7"/>
  <c r="AF94" i="7"/>
  <c r="AE94" i="7"/>
  <c r="AD94" i="7"/>
  <c r="AC94" i="7"/>
  <c r="AB94" i="7"/>
  <c r="AA94" i="7"/>
  <c r="Z94" i="7"/>
  <c r="Y94" i="7"/>
  <c r="X94" i="7"/>
  <c r="W94" i="7"/>
  <c r="R94" i="7"/>
  <c r="Q94" i="7"/>
  <c r="P94" i="7"/>
  <c r="O94" i="7"/>
  <c r="I94" i="7"/>
  <c r="H94" i="7"/>
  <c r="G94" i="7"/>
  <c r="BG93" i="7"/>
  <c r="R93" i="7"/>
  <c r="R83" i="7" s="1"/>
  <c r="Q93" i="7"/>
  <c r="P93" i="7"/>
  <c r="P83" i="7" s="1"/>
  <c r="O93" i="7"/>
  <c r="F93" i="7"/>
  <c r="E93" i="7"/>
  <c r="D93" i="7"/>
  <c r="C93" i="7"/>
  <c r="R92" i="7"/>
  <c r="Q92" i="7"/>
  <c r="P92" i="7"/>
  <c r="O92" i="7"/>
  <c r="BG92" i="7" s="1"/>
  <c r="F92" i="7"/>
  <c r="BJ92" i="7" s="1"/>
  <c r="E92" i="7"/>
  <c r="BI92" i="7" s="1"/>
  <c r="D92" i="7"/>
  <c r="BH92" i="7" s="1"/>
  <c r="C92" i="7"/>
  <c r="R91" i="7"/>
  <c r="Q91" i="7"/>
  <c r="P91" i="7"/>
  <c r="O91" i="7"/>
  <c r="F91" i="7"/>
  <c r="E91" i="7"/>
  <c r="BI91" i="7" s="1"/>
  <c r="D91" i="7"/>
  <c r="BH91" i="7" s="1"/>
  <c r="C91" i="7"/>
  <c r="BG90" i="7"/>
  <c r="R90" i="7"/>
  <c r="Q90" i="7"/>
  <c r="P90" i="7"/>
  <c r="O90" i="7"/>
  <c r="F90" i="7"/>
  <c r="E90" i="7"/>
  <c r="D90" i="7"/>
  <c r="BH90" i="7" s="1"/>
  <c r="C90" i="7"/>
  <c r="BJ89" i="7"/>
  <c r="BI89" i="7"/>
  <c r="BH89" i="7"/>
  <c r="BG89" i="7"/>
  <c r="BJ88" i="7"/>
  <c r="BI88" i="7"/>
  <c r="R88" i="7"/>
  <c r="Q88" i="7"/>
  <c r="P88" i="7"/>
  <c r="BH88" i="7" s="1"/>
  <c r="O88" i="7"/>
  <c r="F88" i="7"/>
  <c r="E88" i="7"/>
  <c r="D88" i="7"/>
  <c r="C88" i="7"/>
  <c r="BJ87" i="7"/>
  <c r="BI87" i="7"/>
  <c r="BH87" i="7"/>
  <c r="BG87" i="7"/>
  <c r="BJ86" i="7"/>
  <c r="BI86" i="7"/>
  <c r="BH86" i="7"/>
  <c r="BG86" i="7"/>
  <c r="BJ85" i="7"/>
  <c r="BI85" i="7"/>
  <c r="BH85" i="7"/>
  <c r="BG85" i="7"/>
  <c r="BJ84" i="7"/>
  <c r="BI84" i="7"/>
  <c r="BH84" i="7"/>
  <c r="BG84" i="7"/>
  <c r="BF83" i="7"/>
  <c r="BE83" i="7"/>
  <c r="BD83" i="7"/>
  <c r="BC83" i="7"/>
  <c r="BB83" i="7"/>
  <c r="BA83" i="7"/>
  <c r="AZ83" i="7"/>
  <c r="AY83" i="7"/>
  <c r="AX83" i="7"/>
  <c r="AW83" i="7"/>
  <c r="AV83" i="7"/>
  <c r="AU83" i="7"/>
  <c r="AT83" i="7"/>
  <c r="AS83" i="7"/>
  <c r="AR83" i="7"/>
  <c r="AQ83" i="7"/>
  <c r="AP83" i="7"/>
  <c r="AO83" i="7"/>
  <c r="AN83" i="7"/>
  <c r="AM83" i="7"/>
  <c r="AL83" i="7"/>
  <c r="AK83" i="7"/>
  <c r="AJ83" i="7"/>
  <c r="AI83" i="7"/>
  <c r="AH83" i="7"/>
  <c r="AG83" i="7"/>
  <c r="AF83" i="7"/>
  <c r="AE83" i="7"/>
  <c r="AD83" i="7"/>
  <c r="AC83" i="7"/>
  <c r="AB83" i="7"/>
  <c r="AA83" i="7"/>
  <c r="Z83" i="7"/>
  <c r="Y83" i="7"/>
  <c r="X83" i="7"/>
  <c r="W83" i="7"/>
  <c r="V83" i="7"/>
  <c r="U83" i="7"/>
  <c r="T83" i="7"/>
  <c r="S83" i="7"/>
  <c r="N83" i="7"/>
  <c r="M83" i="7"/>
  <c r="L83" i="7"/>
  <c r="K83" i="7"/>
  <c r="J83" i="7"/>
  <c r="I83" i="7"/>
  <c r="H83" i="7"/>
  <c r="G83" i="7"/>
  <c r="E83" i="7"/>
  <c r="B83" i="7"/>
  <c r="AH82" i="7"/>
  <c r="AG82" i="7"/>
  <c r="AF82" i="7"/>
  <c r="AE82" i="7"/>
  <c r="BG82" i="7" s="1"/>
  <c r="F82" i="7"/>
  <c r="BJ82" i="7" s="1"/>
  <c r="E82" i="7"/>
  <c r="D82" i="7"/>
  <c r="C82" i="7"/>
  <c r="BG81" i="7"/>
  <c r="AH81" i="7"/>
  <c r="AG81" i="7"/>
  <c r="AF81" i="7"/>
  <c r="AE81" i="7"/>
  <c r="F81" i="7"/>
  <c r="BJ81" i="7" s="1"/>
  <c r="E81" i="7"/>
  <c r="BI81" i="7" s="1"/>
  <c r="D81" i="7"/>
  <c r="BH81" i="7" s="1"/>
  <c r="C81" i="7"/>
  <c r="BG80" i="7"/>
  <c r="AH80" i="7"/>
  <c r="AG80" i="7"/>
  <c r="AF80" i="7"/>
  <c r="AE80" i="7"/>
  <c r="F80" i="7"/>
  <c r="E80" i="7"/>
  <c r="D80" i="7"/>
  <c r="C80" i="7"/>
  <c r="BG79" i="7"/>
  <c r="AH79" i="7"/>
  <c r="AH75" i="7" s="1"/>
  <c r="AG79" i="7"/>
  <c r="AF79" i="7"/>
  <c r="AE79" i="7"/>
  <c r="F79" i="7"/>
  <c r="E79" i="7"/>
  <c r="D79" i="7"/>
  <c r="C79" i="7"/>
  <c r="AH78" i="7"/>
  <c r="AG78" i="7"/>
  <c r="AF78" i="7"/>
  <c r="AE78" i="7"/>
  <c r="BG78" i="7" s="1"/>
  <c r="F78" i="7"/>
  <c r="BJ78" i="7" s="1"/>
  <c r="E78" i="7"/>
  <c r="BI78" i="7" s="1"/>
  <c r="D78" i="7"/>
  <c r="C78" i="7"/>
  <c r="BG77" i="7"/>
  <c r="AH77" i="7"/>
  <c r="AG77" i="7"/>
  <c r="AF77" i="7"/>
  <c r="AE77" i="7"/>
  <c r="F77" i="7"/>
  <c r="BJ77" i="7" s="1"/>
  <c r="E77" i="7"/>
  <c r="BI77" i="7" s="1"/>
  <c r="D77" i="7"/>
  <c r="BH77" i="7" s="1"/>
  <c r="C77" i="7"/>
  <c r="BG76" i="7"/>
  <c r="BK82" i="7" s="1"/>
  <c r="AH76" i="7"/>
  <c r="AG76" i="7"/>
  <c r="AF76" i="7"/>
  <c r="AE76" i="7"/>
  <c r="F76" i="7"/>
  <c r="E76" i="7"/>
  <c r="D76" i="7"/>
  <c r="C76" i="7"/>
  <c r="C75" i="7" s="1"/>
  <c r="B76" i="7"/>
  <c r="BF75" i="7"/>
  <c r="BE75" i="7"/>
  <c r="BD75" i="7"/>
  <c r="BC75" i="7"/>
  <c r="BB75" i="7"/>
  <c r="BA75" i="7"/>
  <c r="AZ75" i="7"/>
  <c r="AY75" i="7"/>
  <c r="AX75" i="7"/>
  <c r="AW75" i="7"/>
  <c r="AV75" i="7"/>
  <c r="AU75" i="7"/>
  <c r="AT75" i="7"/>
  <c r="AS75" i="7"/>
  <c r="AR75" i="7"/>
  <c r="AQ75" i="7"/>
  <c r="AP75" i="7"/>
  <c r="AO75" i="7"/>
  <c r="AN75" i="7"/>
  <c r="AM75" i="7"/>
  <c r="AL75" i="7"/>
  <c r="AK75" i="7"/>
  <c r="AJ75" i="7"/>
  <c r="AI75" i="7"/>
  <c r="AD75" i="7"/>
  <c r="AC75" i="7"/>
  <c r="AB75" i="7"/>
  <c r="AA75" i="7"/>
  <c r="Z75" i="7"/>
  <c r="Y75" i="7"/>
  <c r="X75" i="7"/>
  <c r="W75" i="7"/>
  <c r="V75" i="7"/>
  <c r="U75" i="7"/>
  <c r="T75" i="7"/>
  <c r="S75" i="7"/>
  <c r="R75" i="7"/>
  <c r="Q75" i="7"/>
  <c r="P75" i="7"/>
  <c r="O75" i="7"/>
  <c r="N75" i="7"/>
  <c r="M75" i="7"/>
  <c r="L75" i="7"/>
  <c r="K75" i="7"/>
  <c r="J75" i="7"/>
  <c r="I75" i="7"/>
  <c r="H75" i="7"/>
  <c r="G75" i="7"/>
  <c r="B75" i="7"/>
  <c r="BJ74" i="7"/>
  <c r="BH74" i="7"/>
  <c r="BG74" i="7"/>
  <c r="F74" i="7"/>
  <c r="F71" i="7" s="1"/>
  <c r="E74" i="7"/>
  <c r="D74" i="7"/>
  <c r="C74" i="7"/>
  <c r="F73" i="7"/>
  <c r="BJ73" i="7" s="1"/>
  <c r="E73" i="7"/>
  <c r="BI73" i="7" s="1"/>
  <c r="D73" i="7"/>
  <c r="BH73" i="7" s="1"/>
  <c r="C73" i="7"/>
  <c r="BG73" i="7" s="1"/>
  <c r="BJ72" i="7"/>
  <c r="BI72" i="7"/>
  <c r="F72" i="7"/>
  <c r="E72" i="7"/>
  <c r="D72" i="7"/>
  <c r="C72" i="7"/>
  <c r="B72" i="7"/>
  <c r="B71" i="7" s="1"/>
  <c r="BF71" i="7"/>
  <c r="BE71" i="7"/>
  <c r="BD71" i="7"/>
  <c r="BC71" i="7"/>
  <c r="BC67" i="7" s="1"/>
  <c r="BC66" i="7" s="1"/>
  <c r="BB71" i="7"/>
  <c r="BA71" i="7"/>
  <c r="AZ71" i="7"/>
  <c r="AY71" i="7"/>
  <c r="AX71" i="7"/>
  <c r="AW71" i="7"/>
  <c r="AV71" i="7"/>
  <c r="AU71" i="7"/>
  <c r="AT71" i="7"/>
  <c r="AS71" i="7"/>
  <c r="AR71" i="7"/>
  <c r="AQ71" i="7"/>
  <c r="AP71" i="7"/>
  <c r="AO71" i="7"/>
  <c r="AN71" i="7"/>
  <c r="AM71" i="7"/>
  <c r="AL71" i="7"/>
  <c r="AK71" i="7"/>
  <c r="AJ71" i="7"/>
  <c r="AI71" i="7"/>
  <c r="AH71" i="7"/>
  <c r="AG71" i="7"/>
  <c r="AF71" i="7"/>
  <c r="AE71" i="7"/>
  <c r="AD71" i="7"/>
  <c r="AC71" i="7"/>
  <c r="AB71" i="7"/>
  <c r="AA71" i="7"/>
  <c r="Z71" i="7"/>
  <c r="Y71" i="7"/>
  <c r="X71" i="7"/>
  <c r="W71" i="7"/>
  <c r="V71" i="7"/>
  <c r="U71" i="7"/>
  <c r="T71" i="7"/>
  <c r="S71" i="7"/>
  <c r="R71" i="7"/>
  <c r="Q71" i="7"/>
  <c r="P71" i="7"/>
  <c r="O71" i="7"/>
  <c r="N71" i="7"/>
  <c r="M71" i="7"/>
  <c r="L71" i="7"/>
  <c r="K71" i="7"/>
  <c r="J71" i="7"/>
  <c r="I71" i="7"/>
  <c r="H71" i="7"/>
  <c r="G71" i="7"/>
  <c r="G67" i="7" s="1"/>
  <c r="BJ70" i="7"/>
  <c r="AH70" i="7"/>
  <c r="AH68" i="7" s="1"/>
  <c r="AG70" i="7"/>
  <c r="AG68" i="7" s="1"/>
  <c r="AF70" i="7"/>
  <c r="AF68" i="7" s="1"/>
  <c r="AE70" i="7"/>
  <c r="AE68" i="7" s="1"/>
  <c r="N70" i="7"/>
  <c r="M70" i="7"/>
  <c r="L70" i="7"/>
  <c r="L68" i="7" s="1"/>
  <c r="K70" i="7"/>
  <c r="K68" i="7" s="1"/>
  <c r="F70" i="7"/>
  <c r="E70" i="7"/>
  <c r="D70" i="7"/>
  <c r="C70" i="7"/>
  <c r="BG70" i="7" s="1"/>
  <c r="BJ69" i="7"/>
  <c r="BI69" i="7"/>
  <c r="BH69" i="7"/>
  <c r="BG69" i="7"/>
  <c r="B69" i="7"/>
  <c r="B68" i="7" s="1"/>
  <c r="BF68" i="7"/>
  <c r="BE68" i="7"/>
  <c r="BD68" i="7"/>
  <c r="BC68" i="7"/>
  <c r="BB68" i="7"/>
  <c r="BA68" i="7"/>
  <c r="BA67" i="7" s="1"/>
  <c r="BA66" i="7" s="1"/>
  <c r="AZ68" i="7"/>
  <c r="AZ67" i="7" s="1"/>
  <c r="AZ66" i="7" s="1"/>
  <c r="AY68" i="7"/>
  <c r="AY67" i="7" s="1"/>
  <c r="AY66" i="7" s="1"/>
  <c r="AX68" i="7"/>
  <c r="AW68" i="7"/>
  <c r="AV68" i="7"/>
  <c r="AU68" i="7"/>
  <c r="AT68" i="7"/>
  <c r="AS68" i="7"/>
  <c r="AR68" i="7"/>
  <c r="AQ68" i="7"/>
  <c r="AP68" i="7"/>
  <c r="AP67" i="7" s="1"/>
  <c r="AP66" i="7" s="1"/>
  <c r="AO68" i="7"/>
  <c r="AO67" i="7" s="1"/>
  <c r="AO66" i="7" s="1"/>
  <c r="AN68" i="7"/>
  <c r="AN67" i="7" s="1"/>
  <c r="AN66" i="7" s="1"/>
  <c r="AM68" i="7"/>
  <c r="AM67" i="7" s="1"/>
  <c r="AM66" i="7" s="1"/>
  <c r="AL68" i="7"/>
  <c r="AK68" i="7"/>
  <c r="AJ68" i="7"/>
  <c r="AI68" i="7"/>
  <c r="AD68" i="7"/>
  <c r="AC68" i="7"/>
  <c r="AC67" i="7" s="1"/>
  <c r="AC66" i="7" s="1"/>
  <c r="AB68" i="7"/>
  <c r="AA68" i="7"/>
  <c r="Z68" i="7"/>
  <c r="Z67" i="7" s="1"/>
  <c r="Z66" i="7" s="1"/>
  <c r="Y68" i="7"/>
  <c r="Y67" i="7" s="1"/>
  <c r="Y66" i="7" s="1"/>
  <c r="X68" i="7"/>
  <c r="X67" i="7" s="1"/>
  <c r="X66" i="7" s="1"/>
  <c r="W68" i="7"/>
  <c r="V68" i="7"/>
  <c r="U68" i="7"/>
  <c r="T68" i="7"/>
  <c r="S68" i="7"/>
  <c r="R68" i="7"/>
  <c r="Q68" i="7"/>
  <c r="P68" i="7"/>
  <c r="O68" i="7"/>
  <c r="N68" i="7"/>
  <c r="M68" i="7"/>
  <c r="J68" i="7"/>
  <c r="I68" i="7"/>
  <c r="H68" i="7"/>
  <c r="G68" i="7"/>
  <c r="F68" i="7"/>
  <c r="E68" i="7"/>
  <c r="D68" i="7"/>
  <c r="C68" i="7"/>
  <c r="BG68" i="7" s="1"/>
  <c r="BD67" i="7"/>
  <c r="BD66" i="7" s="1"/>
  <c r="BB67" i="7"/>
  <c r="AS67" i="7"/>
  <c r="AS66" i="7" s="1"/>
  <c r="AB67" i="7"/>
  <c r="AB66" i="7" s="1"/>
  <c r="AA67" i="7"/>
  <c r="AA66" i="7" s="1"/>
  <c r="H67" i="7"/>
  <c r="BB66" i="7"/>
  <c r="I66" i="7"/>
  <c r="H66" i="7"/>
  <c r="G66" i="7"/>
  <c r="BH65" i="7"/>
  <c r="Z65" i="7"/>
  <c r="BJ65" i="7" s="1"/>
  <c r="Y65" i="7"/>
  <c r="BI65" i="7" s="1"/>
  <c r="X65" i="7"/>
  <c r="X63" i="7" s="1"/>
  <c r="W65" i="7"/>
  <c r="BJ64" i="7"/>
  <c r="BI64" i="7"/>
  <c r="BH64" i="7"/>
  <c r="BG64" i="7"/>
  <c r="B64" i="7"/>
  <c r="BJ63" i="7"/>
  <c r="BI63" i="7"/>
  <c r="BF63" i="7"/>
  <c r="BE63" i="7"/>
  <c r="BD63" i="7"/>
  <c r="BC63" i="7"/>
  <c r="BB63" i="7"/>
  <c r="BA63" i="7"/>
  <c r="AZ63" i="7"/>
  <c r="AY63" i="7"/>
  <c r="AX63" i="7"/>
  <c r="AW63" i="7"/>
  <c r="AW52" i="7" s="1"/>
  <c r="AW51" i="7" s="1"/>
  <c r="AV63" i="7"/>
  <c r="AU63" i="7"/>
  <c r="AT63" i="7"/>
  <c r="AS63" i="7"/>
  <c r="AR63" i="7"/>
  <c r="AQ63" i="7"/>
  <c r="AP63" i="7"/>
  <c r="AO63" i="7"/>
  <c r="AN63" i="7"/>
  <c r="AM63" i="7"/>
  <c r="AL63" i="7"/>
  <c r="AK63" i="7"/>
  <c r="AJ63" i="7"/>
  <c r="AI63" i="7"/>
  <c r="AH63" i="7"/>
  <c r="AG63" i="7"/>
  <c r="AF63" i="7"/>
  <c r="AE63" i="7"/>
  <c r="AD63" i="7"/>
  <c r="AC63" i="7"/>
  <c r="AB63" i="7"/>
  <c r="AA63" i="7"/>
  <c r="Z63" i="7"/>
  <c r="Y63" i="7"/>
  <c r="Y52" i="7" s="1"/>
  <c r="Y51" i="7" s="1"/>
  <c r="V63" i="7"/>
  <c r="U63" i="7"/>
  <c r="T63" i="7"/>
  <c r="S63" i="7"/>
  <c r="R63" i="7"/>
  <c r="Q63" i="7"/>
  <c r="P63" i="7"/>
  <c r="O63" i="7"/>
  <c r="N63" i="7"/>
  <c r="M63" i="7"/>
  <c r="L63" i="7"/>
  <c r="K63" i="7"/>
  <c r="J63" i="7"/>
  <c r="I63" i="7"/>
  <c r="H63" i="7"/>
  <c r="BH63" i="7" s="1"/>
  <c r="G63" i="7"/>
  <c r="F63" i="7"/>
  <c r="E63" i="7"/>
  <c r="D63" i="7"/>
  <c r="C63" i="7"/>
  <c r="B63" i="7"/>
  <c r="BI62" i="7"/>
  <c r="J62" i="7"/>
  <c r="I62" i="7"/>
  <c r="H62" i="7"/>
  <c r="G62" i="7"/>
  <c r="F62" i="7"/>
  <c r="E62" i="7"/>
  <c r="D62" i="7"/>
  <c r="BH62" i="7" s="1"/>
  <c r="C62" i="7"/>
  <c r="BJ61" i="7"/>
  <c r="BI61" i="7"/>
  <c r="BH61" i="7"/>
  <c r="BG61" i="7"/>
  <c r="BJ60" i="7"/>
  <c r="AH60" i="7"/>
  <c r="AG60" i="7"/>
  <c r="AF60" i="7"/>
  <c r="AE60" i="7"/>
  <c r="Z60" i="7"/>
  <c r="Y60" i="7"/>
  <c r="Y57" i="7" s="1"/>
  <c r="X60" i="7"/>
  <c r="X57" i="7" s="1"/>
  <c r="W60" i="7"/>
  <c r="W57" i="7" s="1"/>
  <c r="J60" i="7"/>
  <c r="I60" i="7"/>
  <c r="H60" i="7"/>
  <c r="G60" i="7"/>
  <c r="F60" i="7"/>
  <c r="E60" i="7"/>
  <c r="D60" i="7"/>
  <c r="C60" i="7"/>
  <c r="BI59" i="7"/>
  <c r="BH59" i="7"/>
  <c r="BG59" i="7"/>
  <c r="F59" i="7"/>
  <c r="BJ59" i="7" s="1"/>
  <c r="E59" i="7"/>
  <c r="D59" i="7"/>
  <c r="C59" i="7"/>
  <c r="BJ58" i="7"/>
  <c r="J58" i="7"/>
  <c r="I58" i="7"/>
  <c r="H58" i="7"/>
  <c r="H57" i="7" s="1"/>
  <c r="H52" i="7" s="1"/>
  <c r="H51" i="7" s="1"/>
  <c r="G58" i="7"/>
  <c r="F58" i="7"/>
  <c r="F57" i="7" s="1"/>
  <c r="E58" i="7"/>
  <c r="BI58" i="7" s="1"/>
  <c r="D58" i="7"/>
  <c r="C58" i="7"/>
  <c r="B58" i="7"/>
  <c r="B57" i="7" s="1"/>
  <c r="BF57" i="7"/>
  <c r="BF52" i="7" s="1"/>
  <c r="BF51" i="7" s="1"/>
  <c r="BE57" i="7"/>
  <c r="BD57" i="7"/>
  <c r="BC57" i="7"/>
  <c r="BC52" i="7" s="1"/>
  <c r="BC51" i="7" s="1"/>
  <c r="BB57" i="7"/>
  <c r="BA57" i="7"/>
  <c r="BA52" i="7" s="1"/>
  <c r="BA51" i="7" s="1"/>
  <c r="AZ57" i="7"/>
  <c r="AY57" i="7"/>
  <c r="AX57" i="7"/>
  <c r="AW57" i="7"/>
  <c r="AV57" i="7"/>
  <c r="AU57" i="7"/>
  <c r="AU52" i="7" s="1"/>
  <c r="AU51" i="7" s="1"/>
  <c r="AT57" i="7"/>
  <c r="AT52" i="7" s="1"/>
  <c r="AT51" i="7" s="1"/>
  <c r="AS57" i="7"/>
  <c r="AR57" i="7"/>
  <c r="AQ57" i="7"/>
  <c r="AP57" i="7"/>
  <c r="AO57" i="7"/>
  <c r="AN57" i="7"/>
  <c r="AM57" i="7"/>
  <c r="AL57" i="7"/>
  <c r="AK57" i="7"/>
  <c r="AJ57" i="7"/>
  <c r="AI57" i="7"/>
  <c r="AI52" i="7" s="1"/>
  <c r="AI51" i="7" s="1"/>
  <c r="AH57" i="7"/>
  <c r="AH52" i="7" s="1"/>
  <c r="AH51" i="7" s="1"/>
  <c r="AG57" i="7"/>
  <c r="AF57" i="7"/>
  <c r="AE57" i="7"/>
  <c r="AD57" i="7"/>
  <c r="AC57" i="7"/>
  <c r="AC52" i="7" s="1"/>
  <c r="AC51" i="7" s="1"/>
  <c r="AB57" i="7"/>
  <c r="AA57" i="7"/>
  <c r="Z57" i="7"/>
  <c r="V57" i="7"/>
  <c r="U57" i="7"/>
  <c r="T57" i="7"/>
  <c r="S57" i="7"/>
  <c r="S52" i="7" s="1"/>
  <c r="S51" i="7" s="1"/>
  <c r="R57" i="7"/>
  <c r="Q57" i="7"/>
  <c r="Q52" i="7" s="1"/>
  <c r="Q51" i="7" s="1"/>
  <c r="P57" i="7"/>
  <c r="O57" i="7"/>
  <c r="N57" i="7"/>
  <c r="M57" i="7"/>
  <c r="L57" i="7"/>
  <c r="K57" i="7"/>
  <c r="I57" i="7"/>
  <c r="E57" i="7"/>
  <c r="D57" i="7"/>
  <c r="BJ56" i="7"/>
  <c r="BI56" i="7"/>
  <c r="BH56" i="7"/>
  <c r="BG56" i="7"/>
  <c r="BJ55" i="7"/>
  <c r="BI55" i="7"/>
  <c r="BH55" i="7"/>
  <c r="BG55" i="7"/>
  <c r="AH54" i="7"/>
  <c r="AG54" i="7"/>
  <c r="AG53" i="7" s="1"/>
  <c r="AF54" i="7"/>
  <c r="AF53" i="7" s="1"/>
  <c r="AF52" i="7" s="1"/>
  <c r="AF51" i="7" s="1"/>
  <c r="AE54" i="7"/>
  <c r="AE53" i="7" s="1"/>
  <c r="J54" i="7"/>
  <c r="BJ54" i="7" s="1"/>
  <c r="I54" i="7"/>
  <c r="I53" i="7" s="1"/>
  <c r="BI53" i="7" s="1"/>
  <c r="H54" i="7"/>
  <c r="G54" i="7"/>
  <c r="G53" i="7" s="1"/>
  <c r="F54" i="7"/>
  <c r="F53" i="7" s="1"/>
  <c r="E54" i="7"/>
  <c r="D54" i="7"/>
  <c r="C54" i="7"/>
  <c r="B54" i="7"/>
  <c r="BH53" i="7"/>
  <c r="BF53" i="7"/>
  <c r="BE53" i="7"/>
  <c r="BD53" i="7"/>
  <c r="BC53" i="7"/>
  <c r="BB53" i="7"/>
  <c r="BA53" i="7"/>
  <c r="AZ53" i="7"/>
  <c r="AY53" i="7"/>
  <c r="AY52" i="7" s="1"/>
  <c r="AY51" i="7" s="1"/>
  <c r="AX53" i="7"/>
  <c r="AW53" i="7"/>
  <c r="AV53" i="7"/>
  <c r="AV52" i="7" s="1"/>
  <c r="AV51" i="7" s="1"/>
  <c r="AU53" i="7"/>
  <c r="AT53" i="7"/>
  <c r="AS53" i="7"/>
  <c r="AR53" i="7"/>
  <c r="AQ53" i="7"/>
  <c r="AP53" i="7"/>
  <c r="AO53" i="7"/>
  <c r="AN53" i="7"/>
  <c r="AM53" i="7"/>
  <c r="AM52" i="7" s="1"/>
  <c r="AL53" i="7"/>
  <c r="AK53" i="7"/>
  <c r="AJ53" i="7"/>
  <c r="AJ52" i="7" s="1"/>
  <c r="AJ51" i="7" s="1"/>
  <c r="AI53" i="7"/>
  <c r="AH53" i="7"/>
  <c r="AD53" i="7"/>
  <c r="AC53" i="7"/>
  <c r="AB53" i="7"/>
  <c r="AB52" i="7" s="1"/>
  <c r="AA53" i="7"/>
  <c r="AA52" i="7" s="1"/>
  <c r="Z53" i="7"/>
  <c r="Y53" i="7"/>
  <c r="X53" i="7"/>
  <c r="X52" i="7" s="1"/>
  <c r="X51" i="7" s="1"/>
  <c r="W53" i="7"/>
  <c r="V53" i="7"/>
  <c r="V52" i="7" s="1"/>
  <c r="V51" i="7" s="1"/>
  <c r="U53" i="7"/>
  <c r="T53" i="7"/>
  <c r="S53" i="7"/>
  <c r="R53" i="7"/>
  <c r="Q53" i="7"/>
  <c r="P53" i="7"/>
  <c r="O53" i="7"/>
  <c r="O52" i="7" s="1"/>
  <c r="N53" i="7"/>
  <c r="M53" i="7"/>
  <c r="L53" i="7"/>
  <c r="L52" i="7" s="1"/>
  <c r="K53" i="7"/>
  <c r="H53" i="7"/>
  <c r="E53" i="7"/>
  <c r="D53" i="7"/>
  <c r="C53" i="7"/>
  <c r="B53" i="7"/>
  <c r="BE52" i="7"/>
  <c r="BE51" i="7" s="1"/>
  <c r="BD52" i="7"/>
  <c r="BD51" i="7" s="1"/>
  <c r="BB52" i="7"/>
  <c r="AZ52" i="7"/>
  <c r="AS52" i="7"/>
  <c r="AS51" i="7" s="1"/>
  <c r="AR52" i="7"/>
  <c r="AR51" i="7" s="1"/>
  <c r="AQ52" i="7"/>
  <c r="AQ51" i="7" s="1"/>
  <c r="AP52" i="7"/>
  <c r="AN52" i="7"/>
  <c r="AG52" i="7"/>
  <c r="AG51" i="7" s="1"/>
  <c r="AD52" i="7"/>
  <c r="U52" i="7"/>
  <c r="U51" i="7" s="1"/>
  <c r="R52" i="7"/>
  <c r="P52" i="7"/>
  <c r="I52" i="7"/>
  <c r="I51" i="7" s="1"/>
  <c r="F52" i="7"/>
  <c r="BB51" i="7"/>
  <c r="AZ51" i="7"/>
  <c r="AP51" i="7"/>
  <c r="AN51" i="7"/>
  <c r="AM51" i="7"/>
  <c r="AD51" i="7"/>
  <c r="AB51" i="7"/>
  <c r="AA51" i="7"/>
  <c r="R51" i="7"/>
  <c r="P51" i="7"/>
  <c r="O51" i="7"/>
  <c r="L51" i="7"/>
  <c r="F51" i="7"/>
  <c r="BJ50" i="7"/>
  <c r="BI50" i="7"/>
  <c r="Z50" i="7"/>
  <c r="Y50" i="7"/>
  <c r="X50" i="7"/>
  <c r="BH50" i="7" s="1"/>
  <c r="W50" i="7"/>
  <c r="BG50" i="7" s="1"/>
  <c r="BJ49" i="7"/>
  <c r="BI49" i="7"/>
  <c r="BH49" i="7"/>
  <c r="BG49" i="7"/>
  <c r="BJ48" i="7"/>
  <c r="BI48" i="7"/>
  <c r="BH48" i="7"/>
  <c r="BG48" i="7"/>
  <c r="B48" i="7"/>
  <c r="BF47" i="7"/>
  <c r="BE47" i="7"/>
  <c r="BD47" i="7"/>
  <c r="BC47" i="7"/>
  <c r="BB47" i="7"/>
  <c r="BA47" i="7"/>
  <c r="AZ47" i="7"/>
  <c r="AY47" i="7"/>
  <c r="AY41" i="7" s="1"/>
  <c r="AX47" i="7"/>
  <c r="AX41" i="7" s="1"/>
  <c r="AW47" i="7"/>
  <c r="AW41" i="7" s="1"/>
  <c r="AV47" i="7"/>
  <c r="AU47" i="7"/>
  <c r="AU41" i="7" s="1"/>
  <c r="AT47" i="7"/>
  <c r="AS47" i="7"/>
  <c r="AR47" i="7"/>
  <c r="AQ47" i="7"/>
  <c r="AP47" i="7"/>
  <c r="AO47" i="7"/>
  <c r="AN47" i="7"/>
  <c r="AM47" i="7"/>
  <c r="AM41" i="7" s="1"/>
  <c r="AL47" i="7"/>
  <c r="AK47" i="7"/>
  <c r="AK41" i="7" s="1"/>
  <c r="AJ47" i="7"/>
  <c r="AI47" i="7"/>
  <c r="AH47" i="7"/>
  <c r="AG47" i="7"/>
  <c r="AF47" i="7"/>
  <c r="AE47" i="7"/>
  <c r="AD47" i="7"/>
  <c r="AC47" i="7"/>
  <c r="AB47" i="7"/>
  <c r="AA47" i="7"/>
  <c r="AA41" i="7" s="1"/>
  <c r="Z47" i="7"/>
  <c r="Z41" i="7" s="1"/>
  <c r="Y47" i="7"/>
  <c r="Y41" i="7" s="1"/>
  <c r="X47" i="7"/>
  <c r="W47" i="7"/>
  <c r="V47" i="7"/>
  <c r="U47" i="7"/>
  <c r="U41" i="7" s="1"/>
  <c r="T47" i="7"/>
  <c r="S47" i="7"/>
  <c r="R47" i="7"/>
  <c r="Q47" i="7"/>
  <c r="P47" i="7"/>
  <c r="O47" i="7"/>
  <c r="N47" i="7"/>
  <c r="BJ47" i="7" s="1"/>
  <c r="M47" i="7"/>
  <c r="M41" i="7" s="1"/>
  <c r="L47" i="7"/>
  <c r="BH47" i="7" s="1"/>
  <c r="K47" i="7"/>
  <c r="BG47" i="7" s="1"/>
  <c r="J47" i="7"/>
  <c r="I47" i="7"/>
  <c r="H47" i="7"/>
  <c r="G47" i="7"/>
  <c r="F47" i="7"/>
  <c r="E47" i="7"/>
  <c r="D47" i="7"/>
  <c r="C47" i="7"/>
  <c r="C41" i="7" s="1"/>
  <c r="B47" i="7"/>
  <c r="B41" i="7" s="1"/>
  <c r="BJ46" i="7"/>
  <c r="BI46" i="7"/>
  <c r="BH46" i="7"/>
  <c r="BG46" i="7"/>
  <c r="BJ45" i="7"/>
  <c r="BI45" i="7"/>
  <c r="BH45" i="7"/>
  <c r="BG45" i="7"/>
  <c r="BJ44" i="7"/>
  <c r="BI44" i="7"/>
  <c r="BH44" i="7"/>
  <c r="BG44" i="7"/>
  <c r="BK46" i="7" s="1"/>
  <c r="BJ43" i="7"/>
  <c r="BI43" i="7"/>
  <c r="BH43" i="7"/>
  <c r="BG43" i="7"/>
  <c r="B43" i="7"/>
  <c r="B42" i="7" s="1"/>
  <c r="BF42" i="7"/>
  <c r="BF41" i="7" s="1"/>
  <c r="BE42" i="7"/>
  <c r="BD42" i="7"/>
  <c r="BD41" i="7" s="1"/>
  <c r="BC42" i="7"/>
  <c r="BB42" i="7"/>
  <c r="BB41" i="7" s="1"/>
  <c r="BA42" i="7"/>
  <c r="AZ42" i="7"/>
  <c r="AY42" i="7"/>
  <c r="AX42" i="7"/>
  <c r="AW42" i="7"/>
  <c r="AV42" i="7"/>
  <c r="AU42" i="7"/>
  <c r="AT42" i="7"/>
  <c r="AT41" i="7" s="1"/>
  <c r="AS42" i="7"/>
  <c r="AR42" i="7"/>
  <c r="AR41" i="7" s="1"/>
  <c r="AQ42" i="7"/>
  <c r="AP42" i="7"/>
  <c r="AP41" i="7" s="1"/>
  <c r="AO42" i="7"/>
  <c r="AO41" i="7" s="1"/>
  <c r="AN42" i="7"/>
  <c r="AM42" i="7"/>
  <c r="AL42" i="7"/>
  <c r="AK42" i="7"/>
  <c r="AJ42" i="7"/>
  <c r="AI42" i="7"/>
  <c r="AI41" i="7" s="1"/>
  <c r="AH42" i="7"/>
  <c r="AH41" i="7" s="1"/>
  <c r="AG42" i="7"/>
  <c r="AF42" i="7"/>
  <c r="AF41" i="7" s="1"/>
  <c r="AE42" i="7"/>
  <c r="AD42" i="7"/>
  <c r="AC42" i="7"/>
  <c r="AB42" i="7"/>
  <c r="AA42" i="7"/>
  <c r="Z42" i="7"/>
  <c r="Y42" i="7"/>
  <c r="X42" i="7"/>
  <c r="W42" i="7"/>
  <c r="V42" i="7"/>
  <c r="V41" i="7" s="1"/>
  <c r="U42" i="7"/>
  <c r="T42" i="7"/>
  <c r="T41" i="7" s="1"/>
  <c r="S42" i="7"/>
  <c r="R42" i="7"/>
  <c r="Q42" i="7"/>
  <c r="Q41" i="7" s="1"/>
  <c r="P42" i="7"/>
  <c r="O42" i="7"/>
  <c r="N42" i="7"/>
  <c r="M42" i="7"/>
  <c r="L42" i="7"/>
  <c r="K42" i="7"/>
  <c r="J42" i="7"/>
  <c r="J41" i="7" s="1"/>
  <c r="I42" i="7"/>
  <c r="H42" i="7"/>
  <c r="H41" i="7" s="1"/>
  <c r="G42" i="7"/>
  <c r="F42" i="7"/>
  <c r="E42" i="7"/>
  <c r="D42" i="7"/>
  <c r="C42" i="7"/>
  <c r="BE41" i="7"/>
  <c r="BE22" i="7" s="1"/>
  <c r="BC41" i="7"/>
  <c r="BA41" i="7"/>
  <c r="AZ41" i="7"/>
  <c r="AV41" i="7"/>
  <c r="AS41" i="7"/>
  <c r="AQ41" i="7"/>
  <c r="AN41" i="7"/>
  <c r="AG41" i="7"/>
  <c r="AE41" i="7"/>
  <c r="AD41" i="7"/>
  <c r="AC41" i="7"/>
  <c r="AB41" i="7"/>
  <c r="S41" i="7"/>
  <c r="R41" i="7"/>
  <c r="P41" i="7"/>
  <c r="O41" i="7"/>
  <c r="I41" i="7"/>
  <c r="G41" i="7"/>
  <c r="F41" i="7"/>
  <c r="D41" i="7"/>
  <c r="J40" i="7"/>
  <c r="I40" i="7"/>
  <c r="I39" i="7" s="1"/>
  <c r="I23" i="7" s="1"/>
  <c r="I22" i="7" s="1"/>
  <c r="H40" i="7"/>
  <c r="H39" i="7" s="1"/>
  <c r="H23" i="7" s="1"/>
  <c r="H22" i="7" s="1"/>
  <c r="G40" i="7"/>
  <c r="G39" i="7" s="1"/>
  <c r="F40" i="7"/>
  <c r="BJ40" i="7" s="1"/>
  <c r="E40" i="7"/>
  <c r="BI40" i="7" s="1"/>
  <c r="D40" i="7"/>
  <c r="C40" i="7"/>
  <c r="B40" i="7"/>
  <c r="BF39" i="7"/>
  <c r="BF23" i="7" s="1"/>
  <c r="BE39" i="7"/>
  <c r="BD39" i="7"/>
  <c r="BC39" i="7"/>
  <c r="BB39" i="7"/>
  <c r="BB23" i="7" s="1"/>
  <c r="BB22" i="7" s="1"/>
  <c r="BA39" i="7"/>
  <c r="BA23" i="7" s="1"/>
  <c r="BA22" i="7" s="1"/>
  <c r="AZ39" i="7"/>
  <c r="AY39" i="7"/>
  <c r="AX39" i="7"/>
  <c r="AW39" i="7"/>
  <c r="AV39" i="7"/>
  <c r="AU39" i="7"/>
  <c r="AT39" i="7"/>
  <c r="AT23" i="7" s="1"/>
  <c r="AS39" i="7"/>
  <c r="AR39" i="7"/>
  <c r="AR23" i="7" s="1"/>
  <c r="AR22" i="7" s="1"/>
  <c r="AQ39" i="7"/>
  <c r="AP39" i="7"/>
  <c r="AP23" i="7" s="1"/>
  <c r="AP22" i="7" s="1"/>
  <c r="AO39" i="7"/>
  <c r="AO23" i="7" s="1"/>
  <c r="AO22" i="7" s="1"/>
  <c r="AN39" i="7"/>
  <c r="AM39" i="7"/>
  <c r="AL39" i="7"/>
  <c r="AK39" i="7"/>
  <c r="AJ39" i="7"/>
  <c r="AI39" i="7"/>
  <c r="AH39" i="7"/>
  <c r="AH23" i="7" s="1"/>
  <c r="AH22" i="7" s="1"/>
  <c r="AG39" i="7"/>
  <c r="AF39" i="7"/>
  <c r="AE39" i="7"/>
  <c r="AD39" i="7"/>
  <c r="AD23" i="7" s="1"/>
  <c r="AD22" i="7" s="1"/>
  <c r="AC39" i="7"/>
  <c r="AC23" i="7" s="1"/>
  <c r="AC22" i="7" s="1"/>
  <c r="AB39" i="7"/>
  <c r="AA39" i="7"/>
  <c r="Z39" i="7"/>
  <c r="Y39" i="7"/>
  <c r="X39" i="7"/>
  <c r="W39" i="7"/>
  <c r="V39" i="7"/>
  <c r="V23" i="7" s="1"/>
  <c r="U39" i="7"/>
  <c r="T39" i="7"/>
  <c r="T23" i="7" s="1"/>
  <c r="T22" i="7" s="1"/>
  <c r="S39" i="7"/>
  <c r="R39" i="7"/>
  <c r="R23" i="7" s="1"/>
  <c r="Q39" i="7"/>
  <c r="Q23" i="7" s="1"/>
  <c r="Q22" i="7" s="1"/>
  <c r="P39" i="7"/>
  <c r="O39" i="7"/>
  <c r="N39" i="7"/>
  <c r="M39" i="7"/>
  <c r="L39" i="7"/>
  <c r="K39" i="7"/>
  <c r="J39" i="7"/>
  <c r="J23" i="7" s="1"/>
  <c r="J22" i="7" s="1"/>
  <c r="F39" i="7"/>
  <c r="E39" i="7"/>
  <c r="B39" i="7"/>
  <c r="BJ38" i="7"/>
  <c r="BI38" i="7"/>
  <c r="BH38" i="7"/>
  <c r="BG38" i="7"/>
  <c r="BJ37" i="7"/>
  <c r="BI37" i="7"/>
  <c r="BH37" i="7"/>
  <c r="BG37" i="7"/>
  <c r="BJ36" i="7"/>
  <c r="BI36" i="7"/>
  <c r="BH36" i="7"/>
  <c r="BG36" i="7"/>
  <c r="BJ35" i="7"/>
  <c r="BI35" i="7"/>
  <c r="BH35" i="7"/>
  <c r="BG35" i="7"/>
  <c r="BJ34" i="7"/>
  <c r="BI34" i="7"/>
  <c r="BH34" i="7"/>
  <c r="BG34" i="7"/>
  <c r="BJ33" i="7"/>
  <c r="BI33" i="7"/>
  <c r="BH33" i="7"/>
  <c r="BG33" i="7"/>
  <c r="BJ32" i="7"/>
  <c r="BI32" i="7"/>
  <c r="BH32" i="7"/>
  <c r="BG32" i="7"/>
  <c r="BJ31" i="7"/>
  <c r="BI31" i="7"/>
  <c r="BH31" i="7"/>
  <c r="BG31" i="7"/>
  <c r="BJ30" i="7"/>
  <c r="BI30" i="7"/>
  <c r="BH30" i="7"/>
  <c r="BG30" i="7"/>
  <c r="BJ29" i="7"/>
  <c r="BI29" i="7"/>
  <c r="BH29" i="7"/>
  <c r="BG29" i="7"/>
  <c r="BJ28" i="7"/>
  <c r="BI28" i="7"/>
  <c r="BH28" i="7"/>
  <c r="BG28" i="7"/>
  <c r="BJ27" i="7"/>
  <c r="BI27" i="7"/>
  <c r="BH27" i="7"/>
  <c r="BG27" i="7"/>
  <c r="BI26" i="7"/>
  <c r="BG26" i="7"/>
  <c r="Z26" i="7"/>
  <c r="BJ26" i="7" s="1"/>
  <c r="Y26" i="7"/>
  <c r="Y24" i="7" s="1"/>
  <c r="Y23" i="7" s="1"/>
  <c r="X26" i="7"/>
  <c r="W26" i="7"/>
  <c r="BJ25" i="7"/>
  <c r="BI25" i="7"/>
  <c r="BH25" i="7"/>
  <c r="BG25" i="7"/>
  <c r="B25" i="7"/>
  <c r="BF24" i="7"/>
  <c r="BE24" i="7"/>
  <c r="BE23" i="7" s="1"/>
  <c r="BD24" i="7"/>
  <c r="BD23" i="7" s="1"/>
  <c r="BD22" i="7" s="1"/>
  <c r="BC24" i="7"/>
  <c r="BB24" i="7"/>
  <c r="BA24" i="7"/>
  <c r="AZ24" i="7"/>
  <c r="AY24" i="7"/>
  <c r="AX24" i="7"/>
  <c r="AW24" i="7"/>
  <c r="AV24" i="7"/>
  <c r="AU24" i="7"/>
  <c r="AU23" i="7" s="1"/>
  <c r="AT24" i="7"/>
  <c r="AS24" i="7"/>
  <c r="AS23" i="7" s="1"/>
  <c r="AS22" i="7" s="1"/>
  <c r="AR24" i="7"/>
  <c r="AQ24" i="7"/>
  <c r="AP24" i="7"/>
  <c r="AO24" i="7"/>
  <c r="AN24" i="7"/>
  <c r="AN23" i="7" s="1"/>
  <c r="AN22" i="7" s="1"/>
  <c r="AM24" i="7"/>
  <c r="AL24" i="7"/>
  <c r="AK24" i="7"/>
  <c r="AK23" i="7" s="1"/>
  <c r="AK22" i="7" s="1"/>
  <c r="AJ24" i="7"/>
  <c r="AI24" i="7"/>
  <c r="BG24" i="7" s="1"/>
  <c r="AH24" i="7"/>
  <c r="AG24" i="7"/>
  <c r="AF24" i="7"/>
  <c r="AE24" i="7"/>
  <c r="AD24" i="7"/>
  <c r="AC24" i="7"/>
  <c r="AB24" i="7"/>
  <c r="AB23" i="7" s="1"/>
  <c r="AA24" i="7"/>
  <c r="AA23" i="7" s="1"/>
  <c r="AA22" i="7" s="1"/>
  <c r="Z24" i="7"/>
  <c r="W24" i="7"/>
  <c r="W23" i="7" s="1"/>
  <c r="V24" i="7"/>
  <c r="U24" i="7"/>
  <c r="T24" i="7"/>
  <c r="S24" i="7"/>
  <c r="R24" i="7"/>
  <c r="Q24" i="7"/>
  <c r="P24" i="7"/>
  <c r="P23" i="7" s="1"/>
  <c r="O24" i="7"/>
  <c r="O23" i="7" s="1"/>
  <c r="N24" i="7"/>
  <c r="N23" i="7" s="1"/>
  <c r="M24" i="7"/>
  <c r="L24" i="7"/>
  <c r="K24" i="7"/>
  <c r="J24" i="7"/>
  <c r="I24" i="7"/>
  <c r="BI24" i="7" s="1"/>
  <c r="H24" i="7"/>
  <c r="G24" i="7"/>
  <c r="F24" i="7"/>
  <c r="E24" i="7"/>
  <c r="D24" i="7"/>
  <c r="C24" i="7"/>
  <c r="B24" i="7"/>
  <c r="B23" i="7" s="1"/>
  <c r="B22" i="7" s="1"/>
  <c r="AZ23" i="7"/>
  <c r="AZ22" i="7" s="1"/>
  <c r="AY23" i="7"/>
  <c r="AY22" i="7" s="1"/>
  <c r="AX23" i="7"/>
  <c r="AX22" i="7" s="1"/>
  <c r="AW23" i="7"/>
  <c r="AW22" i="7" s="1"/>
  <c r="AV23" i="7"/>
  <c r="AV22" i="7" s="1"/>
  <c r="AM23" i="7"/>
  <c r="AM22" i="7" s="1"/>
  <c r="AL23" i="7"/>
  <c r="AJ23" i="7"/>
  <c r="AG23" i="7"/>
  <c r="AF23" i="7"/>
  <c r="AF22" i="7" s="1"/>
  <c r="Z23" i="7"/>
  <c r="Z22" i="7" s="1"/>
  <c r="U23" i="7"/>
  <c r="U22" i="7" s="1"/>
  <c r="M23" i="7"/>
  <c r="M22" i="7" s="1"/>
  <c r="L23" i="7"/>
  <c r="K23" i="7"/>
  <c r="AG22" i="7"/>
  <c r="P22" i="7"/>
  <c r="O22" i="7"/>
  <c r="BJ21" i="7"/>
  <c r="F21" i="7"/>
  <c r="E21" i="7"/>
  <c r="D21" i="7"/>
  <c r="C21" i="7"/>
  <c r="BJ20" i="7"/>
  <c r="BI20" i="7"/>
  <c r="BH20" i="7"/>
  <c r="BG20" i="7"/>
  <c r="F20" i="7"/>
  <c r="E20" i="7"/>
  <c r="D20" i="7"/>
  <c r="C20" i="7"/>
  <c r="BJ19" i="7"/>
  <c r="BI19" i="7"/>
  <c r="BH19" i="7"/>
  <c r="BG19" i="7"/>
  <c r="BJ18" i="7"/>
  <c r="BI18" i="7"/>
  <c r="BH18" i="7"/>
  <c r="BG18" i="7"/>
  <c r="B18" i="7"/>
  <c r="B17" i="7" s="1"/>
  <c r="BF17" i="7"/>
  <c r="BE17" i="7"/>
  <c r="BD17" i="7"/>
  <c r="BD13" i="7" s="1"/>
  <c r="BD3" i="7" s="1"/>
  <c r="BD103" i="7" s="1"/>
  <c r="BC17" i="7"/>
  <c r="BC13" i="7" s="1"/>
  <c r="BB17" i="7"/>
  <c r="BB13" i="7" s="1"/>
  <c r="BA17" i="7"/>
  <c r="AZ17" i="7"/>
  <c r="AY17" i="7"/>
  <c r="AX17" i="7"/>
  <c r="AW17" i="7"/>
  <c r="AV17" i="7"/>
  <c r="AV13" i="7" s="1"/>
  <c r="AU17" i="7"/>
  <c r="AU13" i="7" s="1"/>
  <c r="AT17" i="7"/>
  <c r="AS17" i="7"/>
  <c r="AR17" i="7"/>
  <c r="AQ17" i="7"/>
  <c r="AQ13" i="7" s="1"/>
  <c r="AQ3" i="7" s="1"/>
  <c r="AP17" i="7"/>
  <c r="AP13" i="7" s="1"/>
  <c r="AP3" i="7" s="1"/>
  <c r="AP103" i="7" s="1"/>
  <c r="AO17" i="7"/>
  <c r="AN17" i="7"/>
  <c r="AM17" i="7"/>
  <c r="AL17" i="7"/>
  <c r="AK17" i="7"/>
  <c r="AJ17" i="7"/>
  <c r="AJ13" i="7" s="1"/>
  <c r="AI17" i="7"/>
  <c r="AI13" i="7" s="1"/>
  <c r="AH17" i="7"/>
  <c r="AG17" i="7"/>
  <c r="AF17" i="7"/>
  <c r="AF13" i="7" s="1"/>
  <c r="AE17" i="7"/>
  <c r="AE13" i="7" s="1"/>
  <c r="AD17" i="7"/>
  <c r="AD13" i="7" s="1"/>
  <c r="AC17" i="7"/>
  <c r="AB17" i="7"/>
  <c r="AA17" i="7"/>
  <c r="Z17" i="7"/>
  <c r="Y17" i="7"/>
  <c r="X17" i="7"/>
  <c r="W17" i="7"/>
  <c r="W13" i="7" s="1"/>
  <c r="V17" i="7"/>
  <c r="U17" i="7"/>
  <c r="T17" i="7"/>
  <c r="S17" i="7"/>
  <c r="S13" i="7" s="1"/>
  <c r="R17" i="7"/>
  <c r="R13" i="7" s="1"/>
  <c r="Q17" i="7"/>
  <c r="P17" i="7"/>
  <c r="O17" i="7"/>
  <c r="N17" i="7"/>
  <c r="M17" i="7"/>
  <c r="L17" i="7"/>
  <c r="K17" i="7"/>
  <c r="K13" i="7" s="1"/>
  <c r="J17" i="7"/>
  <c r="I17" i="7"/>
  <c r="H17" i="7"/>
  <c r="G17" i="7"/>
  <c r="F17" i="7"/>
  <c r="BJ17" i="7" s="1"/>
  <c r="BJ16" i="7"/>
  <c r="BI16" i="7"/>
  <c r="BH16" i="7"/>
  <c r="BG16" i="7"/>
  <c r="BJ15" i="7"/>
  <c r="BI15" i="7"/>
  <c r="BH15" i="7"/>
  <c r="BG15" i="7"/>
  <c r="BK16" i="7" s="1"/>
  <c r="BF14" i="7"/>
  <c r="BF13" i="7" s="1"/>
  <c r="BE14" i="7"/>
  <c r="BE13" i="7" s="1"/>
  <c r="BD14" i="7"/>
  <c r="BC14" i="7"/>
  <c r="BB14" i="7"/>
  <c r="BA14" i="7"/>
  <c r="BA13" i="7" s="1"/>
  <c r="AZ14" i="7"/>
  <c r="AZ13" i="7" s="1"/>
  <c r="AY14" i="7"/>
  <c r="AX14" i="7"/>
  <c r="AX13" i="7" s="1"/>
  <c r="AW14" i="7"/>
  <c r="AV14" i="7"/>
  <c r="AU14" i="7"/>
  <c r="AT14" i="7"/>
  <c r="AT13" i="7" s="1"/>
  <c r="AS14" i="7"/>
  <c r="AS13" i="7" s="1"/>
  <c r="AR14" i="7"/>
  <c r="AR13" i="7" s="1"/>
  <c r="AR3" i="7" s="1"/>
  <c r="AR103" i="7" s="1"/>
  <c r="AQ14" i="7"/>
  <c r="AP14" i="7"/>
  <c r="AO14" i="7"/>
  <c r="AN14" i="7"/>
  <c r="AM14" i="7"/>
  <c r="AL14" i="7"/>
  <c r="AL13" i="7" s="1"/>
  <c r="AK14" i="7"/>
  <c r="AJ14" i="7"/>
  <c r="AI14" i="7"/>
  <c r="AH14" i="7"/>
  <c r="AH13" i="7" s="1"/>
  <c r="AG14" i="7"/>
  <c r="AG13" i="7" s="1"/>
  <c r="AF14" i="7"/>
  <c r="AE14" i="7"/>
  <c r="AD14" i="7"/>
  <c r="AC14" i="7"/>
  <c r="AB14" i="7"/>
  <c r="AA14" i="7"/>
  <c r="Z14" i="7"/>
  <c r="Z13" i="7" s="1"/>
  <c r="Y14" i="7"/>
  <c r="X14" i="7"/>
  <c r="W14" i="7"/>
  <c r="V14" i="7"/>
  <c r="V13" i="7" s="1"/>
  <c r="U14" i="7"/>
  <c r="U13" i="7" s="1"/>
  <c r="U3" i="7" s="1"/>
  <c r="T14" i="7"/>
  <c r="S14" i="7"/>
  <c r="R14" i="7"/>
  <c r="Q14" i="7"/>
  <c r="P14" i="7"/>
  <c r="O14" i="7"/>
  <c r="N14" i="7"/>
  <c r="N13" i="7" s="1"/>
  <c r="M14" i="7"/>
  <c r="L14" i="7"/>
  <c r="K14" i="7"/>
  <c r="J14" i="7"/>
  <c r="J13" i="7" s="1"/>
  <c r="I14" i="7"/>
  <c r="I13" i="7" s="1"/>
  <c r="H14" i="7"/>
  <c r="G14" i="7"/>
  <c r="F14" i="7"/>
  <c r="E14" i="7"/>
  <c r="D14" i="7"/>
  <c r="BH14" i="7" s="1"/>
  <c r="C14" i="7"/>
  <c r="B14" i="7"/>
  <c r="AY13" i="7"/>
  <c r="AW13" i="7"/>
  <c r="AO13" i="7"/>
  <c r="AN13" i="7"/>
  <c r="AM13" i="7"/>
  <c r="AK13" i="7"/>
  <c r="AC13" i="7"/>
  <c r="AB13" i="7"/>
  <c r="AA13" i="7"/>
  <c r="Y13" i="7"/>
  <c r="X13" i="7"/>
  <c r="Q13" i="7"/>
  <c r="P13" i="7"/>
  <c r="O13" i="7"/>
  <c r="M13" i="7"/>
  <c r="L13" i="7"/>
  <c r="BJ12" i="7"/>
  <c r="BI12" i="7"/>
  <c r="BH12" i="7"/>
  <c r="BG12" i="7"/>
  <c r="BH11" i="7"/>
  <c r="F11" i="7"/>
  <c r="BJ11" i="7" s="1"/>
  <c r="E11" i="7"/>
  <c r="D11" i="7"/>
  <c r="C11" i="7"/>
  <c r="BJ10" i="7"/>
  <c r="BI10" i="7"/>
  <c r="BH10" i="7"/>
  <c r="BG10" i="7"/>
  <c r="B10" i="7"/>
  <c r="BF9" i="7"/>
  <c r="BE9" i="7"/>
  <c r="BD9" i="7"/>
  <c r="BC9" i="7"/>
  <c r="BB9" i="7"/>
  <c r="BA9" i="7"/>
  <c r="AZ9" i="7"/>
  <c r="AY9" i="7"/>
  <c r="AX9" i="7"/>
  <c r="AW9" i="7"/>
  <c r="AW4" i="7" s="1"/>
  <c r="AW3" i="7" s="1"/>
  <c r="AV9" i="7"/>
  <c r="AV4" i="7" s="1"/>
  <c r="AV3" i="7" s="1"/>
  <c r="AU9" i="7"/>
  <c r="AT9" i="7"/>
  <c r="AT4" i="7" s="1"/>
  <c r="AS9" i="7"/>
  <c r="AR9" i="7"/>
  <c r="AQ9" i="7"/>
  <c r="AP9" i="7"/>
  <c r="AO9" i="7"/>
  <c r="AN9" i="7"/>
  <c r="AM9" i="7"/>
  <c r="AL9" i="7"/>
  <c r="AK9" i="7"/>
  <c r="AJ9" i="7"/>
  <c r="AJ4" i="7" s="1"/>
  <c r="AJ3" i="7" s="1"/>
  <c r="AI9" i="7"/>
  <c r="AH9" i="7"/>
  <c r="AH4" i="7" s="1"/>
  <c r="AG9" i="7"/>
  <c r="AF9" i="7"/>
  <c r="AE9" i="7"/>
  <c r="AD9" i="7"/>
  <c r="AC9" i="7"/>
  <c r="AB9" i="7"/>
  <c r="AA9" i="7"/>
  <c r="Z9" i="7"/>
  <c r="Y9" i="7"/>
  <c r="Y4" i="7" s="1"/>
  <c r="X9" i="7"/>
  <c r="X4" i="7" s="1"/>
  <c r="W9" i="7"/>
  <c r="V9" i="7"/>
  <c r="V4" i="7" s="1"/>
  <c r="U9" i="7"/>
  <c r="T9" i="7"/>
  <c r="S9" i="7"/>
  <c r="R9" i="7"/>
  <c r="Q9" i="7"/>
  <c r="P9" i="7"/>
  <c r="O9" i="7"/>
  <c r="N9" i="7"/>
  <c r="M9" i="7"/>
  <c r="L9" i="7"/>
  <c r="L4" i="7" s="1"/>
  <c r="L3" i="7" s="1"/>
  <c r="K9" i="7"/>
  <c r="J9" i="7"/>
  <c r="J4" i="7" s="1"/>
  <c r="I9" i="7"/>
  <c r="H9" i="7"/>
  <c r="G9" i="7"/>
  <c r="F9" i="7"/>
  <c r="D9" i="7"/>
  <c r="B9" i="7"/>
  <c r="BK8" i="7"/>
  <c r="BJ8" i="7"/>
  <c r="BG8" i="7"/>
  <c r="F8" i="7"/>
  <c r="E8" i="7"/>
  <c r="BI8" i="7" s="1"/>
  <c r="D8" i="7"/>
  <c r="BJ7" i="7"/>
  <c r="BH7" i="7"/>
  <c r="BG7" i="7"/>
  <c r="F7" i="7"/>
  <c r="E7" i="7"/>
  <c r="BI7" i="7" s="1"/>
  <c r="D7" i="7"/>
  <c r="BJ6" i="7"/>
  <c r="BI6" i="7"/>
  <c r="BH6" i="7"/>
  <c r="BG6" i="7"/>
  <c r="B6" i="7"/>
  <c r="B5" i="7" s="1"/>
  <c r="BF5" i="7"/>
  <c r="BE5" i="7"/>
  <c r="BD5" i="7"/>
  <c r="BD4" i="7" s="1"/>
  <c r="BC5" i="7"/>
  <c r="BB5" i="7"/>
  <c r="BB4" i="7" s="1"/>
  <c r="BA5" i="7"/>
  <c r="BA4" i="7" s="1"/>
  <c r="BA3" i="7" s="1"/>
  <c r="AZ5" i="7"/>
  <c r="AY5" i="7"/>
  <c r="AX5" i="7"/>
  <c r="AW5" i="7"/>
  <c r="AV5" i="7"/>
  <c r="AU5" i="7"/>
  <c r="AU4" i="7" s="1"/>
  <c r="AT5" i="7"/>
  <c r="AS5" i="7"/>
  <c r="AS4" i="7" s="1"/>
  <c r="AR5" i="7"/>
  <c r="AR4" i="7" s="1"/>
  <c r="AQ5" i="7"/>
  <c r="AP5" i="7"/>
  <c r="AO5" i="7"/>
  <c r="AO4" i="7" s="1"/>
  <c r="AN5" i="7"/>
  <c r="AM5" i="7"/>
  <c r="AL5" i="7"/>
  <c r="AK5" i="7"/>
  <c r="AK4" i="7" s="1"/>
  <c r="AJ5" i="7"/>
  <c r="AI5" i="7"/>
  <c r="AI4" i="7" s="1"/>
  <c r="AH5" i="7"/>
  <c r="AG5" i="7"/>
  <c r="AF5" i="7"/>
  <c r="AE5" i="7"/>
  <c r="AE4" i="7" s="1"/>
  <c r="AE3" i="7" s="1"/>
  <c r="AD5" i="7"/>
  <c r="AD4" i="7" s="1"/>
  <c r="AD3" i="7" s="1"/>
  <c r="AC5" i="7"/>
  <c r="AC4" i="7" s="1"/>
  <c r="AC3" i="7" s="1"/>
  <c r="AB5" i="7"/>
  <c r="AB4" i="7" s="1"/>
  <c r="AB3" i="7" s="1"/>
  <c r="AA5" i="7"/>
  <c r="Z5" i="7"/>
  <c r="Y5" i="7"/>
  <c r="X5" i="7"/>
  <c r="W5" i="7"/>
  <c r="W4" i="7" s="1"/>
  <c r="V5" i="7"/>
  <c r="U5" i="7"/>
  <c r="U4" i="7" s="1"/>
  <c r="T5" i="7"/>
  <c r="T4" i="7" s="1"/>
  <c r="S5" i="7"/>
  <c r="S4" i="7" s="1"/>
  <c r="R5" i="7"/>
  <c r="R4" i="7" s="1"/>
  <c r="Q5" i="7"/>
  <c r="Q4" i="7" s="1"/>
  <c r="Q3" i="7" s="1"/>
  <c r="P5" i="7"/>
  <c r="O5" i="7"/>
  <c r="N5" i="7"/>
  <c r="M5" i="7"/>
  <c r="L5" i="7"/>
  <c r="K5" i="7"/>
  <c r="K4" i="7" s="1"/>
  <c r="J5" i="7"/>
  <c r="I5" i="7"/>
  <c r="I4" i="7" s="1"/>
  <c r="H5" i="7"/>
  <c r="H4" i="7" s="1"/>
  <c r="G5" i="7"/>
  <c r="F5" i="7"/>
  <c r="BJ5" i="7" s="1"/>
  <c r="E5" i="7"/>
  <c r="C5" i="7"/>
  <c r="BF4" i="7"/>
  <c r="BE4" i="7"/>
  <c r="BC4" i="7"/>
  <c r="AZ4" i="7"/>
  <c r="AY4" i="7"/>
  <c r="AX4" i="7"/>
  <c r="AQ4" i="7"/>
  <c r="AP4" i="7"/>
  <c r="AN4" i="7"/>
  <c r="AN3" i="7" s="1"/>
  <c r="AN103" i="7" s="1"/>
  <c r="AM4" i="7"/>
  <c r="AM3" i="7" s="1"/>
  <c r="AM103" i="7" s="1"/>
  <c r="AL4" i="7"/>
  <c r="AG4" i="7"/>
  <c r="AG3" i="7" s="1"/>
  <c r="AF4" i="7"/>
  <c r="AF3" i="7" s="1"/>
  <c r="AA4" i="7"/>
  <c r="Z4" i="7"/>
  <c r="P4" i="7"/>
  <c r="P3" i="7" s="1"/>
  <c r="O4" i="7"/>
  <c r="N4" i="7"/>
  <c r="N3" i="7" s="1"/>
  <c r="M4" i="7"/>
  <c r="F4" i="7"/>
  <c r="B4" i="7"/>
  <c r="AY3" i="7"/>
  <c r="AX3" i="7"/>
  <c r="AO3" i="7"/>
  <c r="AL3" i="7"/>
  <c r="AA3" i="7"/>
  <c r="AA103" i="7" s="1"/>
  <c r="Z3" i="7"/>
  <c r="O3" i="7"/>
  <c r="BL47" i="7" l="1"/>
  <c r="BK47" i="7"/>
  <c r="BL99" i="7"/>
  <c r="BK99" i="7"/>
  <c r="P103" i="7"/>
  <c r="U103" i="7"/>
  <c r="BC3" i="7"/>
  <c r="BC103" i="7" s="1"/>
  <c r="BK24" i="7"/>
  <c r="BL24" i="7"/>
  <c r="AB103" i="7"/>
  <c r="BE3" i="7"/>
  <c r="BE103" i="7" s="1"/>
  <c r="BA103" i="7"/>
  <c r="R3" i="7"/>
  <c r="AD103" i="7"/>
  <c r="BB3" i="7"/>
  <c r="BB103" i="7" s="1"/>
  <c r="W52" i="7"/>
  <c r="W51" i="7" s="1"/>
  <c r="S3" i="7"/>
  <c r="BJ4" i="7"/>
  <c r="BI68" i="7"/>
  <c r="R22" i="7"/>
  <c r="BI39" i="7"/>
  <c r="E23" i="7"/>
  <c r="BG63" i="7"/>
  <c r="AC103" i="7"/>
  <c r="T52" i="7"/>
  <c r="T51" i="7" s="1"/>
  <c r="V67" i="7"/>
  <c r="V66" i="7" s="1"/>
  <c r="BJ91" i="7"/>
  <c r="F83" i="7"/>
  <c r="BJ83" i="7" s="1"/>
  <c r="G4" i="7"/>
  <c r="BG5" i="7"/>
  <c r="BJ9" i="7"/>
  <c r="R67" i="7"/>
  <c r="R66" i="7" s="1"/>
  <c r="BI42" i="7"/>
  <c r="E41" i="7"/>
  <c r="BI41" i="7" s="1"/>
  <c r="AL52" i="7"/>
  <c r="AL51" i="7" s="1"/>
  <c r="AX52" i="7"/>
  <c r="AX51" i="7" s="1"/>
  <c r="AX103" i="7" s="1"/>
  <c r="BI57" i="7"/>
  <c r="BI74" i="7"/>
  <c r="E71" i="7"/>
  <c r="B94" i="7"/>
  <c r="F3" i="7"/>
  <c r="AI23" i="7"/>
  <c r="AI22" i="7" s="1"/>
  <c r="D23" i="7"/>
  <c r="BH24" i="7"/>
  <c r="BJ42" i="7"/>
  <c r="BH58" i="7"/>
  <c r="C57" i="7"/>
  <c r="BG57" i="7" s="1"/>
  <c r="BG62" i="7"/>
  <c r="BG65" i="7"/>
  <c r="W63" i="7"/>
  <c r="BH72" i="7"/>
  <c r="D71" i="7"/>
  <c r="BJ71" i="7"/>
  <c r="F67" i="7"/>
  <c r="BG95" i="7"/>
  <c r="BK98" i="7" s="1"/>
  <c r="BI21" i="7"/>
  <c r="E17" i="7"/>
  <c r="BI17" i="7" s="1"/>
  <c r="BF3" i="7"/>
  <c r="BG53" i="7"/>
  <c r="AY103" i="7"/>
  <c r="BL68" i="7"/>
  <c r="BK68" i="7"/>
  <c r="V22" i="7"/>
  <c r="J53" i="7"/>
  <c r="BI83" i="7"/>
  <c r="I3" i="7"/>
  <c r="I103" i="7" s="1"/>
  <c r="AZ3" i="7"/>
  <c r="AZ103" i="7" s="1"/>
  <c r="BH26" i="7"/>
  <c r="X24" i="7"/>
  <c r="X23" i="7" s="1"/>
  <c r="D39" i="7"/>
  <c r="BH39" i="7" s="1"/>
  <c r="BH40" i="7"/>
  <c r="N41" i="7"/>
  <c r="N22" i="7" s="1"/>
  <c r="N103" i="7" s="1"/>
  <c r="M52" i="7"/>
  <c r="M51" i="7" s="1"/>
  <c r="AF67" i="7"/>
  <c r="AF66" i="7" s="1"/>
  <c r="AF103" i="7" s="1"/>
  <c r="BH95" i="7"/>
  <c r="AO103" i="7"/>
  <c r="AU22" i="7"/>
  <c r="BJ62" i="7"/>
  <c r="J57" i="7"/>
  <c r="BJ57" i="7" s="1"/>
  <c r="AQ67" i="7"/>
  <c r="AQ66" i="7" s="1"/>
  <c r="Z103" i="7"/>
  <c r="BI5" i="7"/>
  <c r="C9" i="7"/>
  <c r="BG11" i="7"/>
  <c r="BK12" i="7" s="1"/>
  <c r="BJ39" i="7"/>
  <c r="F23" i="7"/>
  <c r="E9" i="7"/>
  <c r="BI11" i="7"/>
  <c r="AB22" i="7"/>
  <c r="BF22" i="7"/>
  <c r="BI47" i="7"/>
  <c r="AK52" i="7"/>
  <c r="AK51" i="7" s="1"/>
  <c r="D52" i="7"/>
  <c r="BH57" i="7"/>
  <c r="BG72" i="7"/>
  <c r="C71" i="7"/>
  <c r="AS3" i="7"/>
  <c r="AS103" i="7" s="1"/>
  <c r="BH8" i="7"/>
  <c r="D5" i="7"/>
  <c r="AT3" i="7"/>
  <c r="C17" i="7"/>
  <c r="BG21" i="7"/>
  <c r="BK21" i="7" s="1"/>
  <c r="AL22" i="7"/>
  <c r="AL103" i="7" s="1"/>
  <c r="Y22" i="7"/>
  <c r="N52" i="7"/>
  <c r="N51" i="7" s="1"/>
  <c r="Z52" i="7"/>
  <c r="Z51" i="7" s="1"/>
  <c r="AL67" i="7"/>
  <c r="AL66" i="7" s="1"/>
  <c r="AX67" i="7"/>
  <c r="AX66" i="7" s="1"/>
  <c r="Q83" i="7"/>
  <c r="Q67" i="7" s="1"/>
  <c r="Q66" i="7" s="1"/>
  <c r="Q103" i="7" s="1"/>
  <c r="BG96" i="7"/>
  <c r="S67" i="7"/>
  <c r="S66" i="7" s="1"/>
  <c r="BJ68" i="7"/>
  <c r="N67" i="7"/>
  <c r="N66" i="7" s="1"/>
  <c r="F13" i="7"/>
  <c r="BJ13" i="7" s="1"/>
  <c r="AT22" i="7"/>
  <c r="AE52" i="7"/>
  <c r="AE51" i="7" s="1"/>
  <c r="D17" i="7"/>
  <c r="BH21" i="7"/>
  <c r="E52" i="7"/>
  <c r="BH54" i="7"/>
  <c r="BG58" i="7"/>
  <c r="BK62" i="7" s="1"/>
  <c r="G57" i="7"/>
  <c r="G52" i="7" s="1"/>
  <c r="G51" i="7" s="1"/>
  <c r="AH67" i="7"/>
  <c r="AH66" i="7" s="1"/>
  <c r="AG75" i="7"/>
  <c r="AG67" i="7" s="1"/>
  <c r="AG66" i="7" s="1"/>
  <c r="AG103" i="7" s="1"/>
  <c r="C83" i="7"/>
  <c r="BG88" i="7"/>
  <c r="BI95" i="7"/>
  <c r="K3" i="7"/>
  <c r="W3" i="7"/>
  <c r="AI3" i="7"/>
  <c r="AU3" i="7"/>
  <c r="BG14" i="7"/>
  <c r="K52" i="7"/>
  <c r="K51" i="7" s="1"/>
  <c r="B52" i="7"/>
  <c r="B51" i="7" s="1"/>
  <c r="AO52" i="7"/>
  <c r="AO51" i="7" s="1"/>
  <c r="BG54" i="7"/>
  <c r="BK56" i="7" s="1"/>
  <c r="P67" i="7"/>
  <c r="P66" i="7" s="1"/>
  <c r="D83" i="7"/>
  <c r="BH83" i="7" s="1"/>
  <c r="F94" i="7"/>
  <c r="V94" i="7"/>
  <c r="BJ95" i="7"/>
  <c r="AH3" i="7"/>
  <c r="K41" i="7"/>
  <c r="K22" i="7" s="1"/>
  <c r="W41" i="7"/>
  <c r="BG41" i="7" s="1"/>
  <c r="BG42" i="7"/>
  <c r="BI54" i="7"/>
  <c r="BH68" i="7"/>
  <c r="AD67" i="7"/>
  <c r="AD66" i="7" s="1"/>
  <c r="AE75" i="7"/>
  <c r="AE67" i="7" s="1"/>
  <c r="AE66" i="7" s="1"/>
  <c r="AE103" i="7" s="1"/>
  <c r="BI79" i="7"/>
  <c r="BG91" i="7"/>
  <c r="O83" i="7"/>
  <c r="O67" i="7" s="1"/>
  <c r="O66" i="7" s="1"/>
  <c r="O103" i="7" s="1"/>
  <c r="BH96" i="7"/>
  <c r="BH9" i="7"/>
  <c r="BJ14" i="7"/>
  <c r="L41" i="7"/>
  <c r="L22" i="7" s="1"/>
  <c r="L103" i="7" s="1"/>
  <c r="X41" i="7"/>
  <c r="AJ41" i="7"/>
  <c r="AJ22" i="7" s="1"/>
  <c r="AJ103" i="7" s="1"/>
  <c r="BH42" i="7"/>
  <c r="AF75" i="7"/>
  <c r="BJ79" i="7"/>
  <c r="BI96" i="7"/>
  <c r="E99" i="7"/>
  <c r="BI99" i="7" s="1"/>
  <c r="J3" i="7"/>
  <c r="BI14" i="7"/>
  <c r="BJ24" i="7"/>
  <c r="AT67" i="7"/>
  <c r="AT66" i="7" s="1"/>
  <c r="BF67" i="7"/>
  <c r="BF66" i="7" s="1"/>
  <c r="BH82" i="7"/>
  <c r="BJ99" i="7"/>
  <c r="AK3" i="7"/>
  <c r="V3" i="7"/>
  <c r="X3" i="7"/>
  <c r="AV103" i="7"/>
  <c r="G13" i="7"/>
  <c r="M3" i="7"/>
  <c r="Y3" i="7"/>
  <c r="AW103" i="7"/>
  <c r="H13" i="7"/>
  <c r="H3" i="7" s="1"/>
  <c r="H103" i="7" s="1"/>
  <c r="T13" i="7"/>
  <c r="T3" i="7" s="1"/>
  <c r="C39" i="7"/>
  <c r="BG39" i="7" s="1"/>
  <c r="BG40" i="7"/>
  <c r="BK40" i="7" s="1"/>
  <c r="AL41" i="7"/>
  <c r="AK67" i="7"/>
  <c r="AK66" i="7" s="1"/>
  <c r="AW67" i="7"/>
  <c r="AW66" i="7" s="1"/>
  <c r="BK70" i="7"/>
  <c r="W67" i="7"/>
  <c r="W66" i="7" s="1"/>
  <c r="AI67" i="7"/>
  <c r="AI66" i="7" s="1"/>
  <c r="AU67" i="7"/>
  <c r="AU66" i="7" s="1"/>
  <c r="BH78" i="7"/>
  <c r="BI82" i="7"/>
  <c r="BJ93" i="7"/>
  <c r="BK38" i="7"/>
  <c r="BH70" i="7"/>
  <c r="BK74" i="7"/>
  <c r="D75" i="7"/>
  <c r="BH75" i="7" s="1"/>
  <c r="BH76" i="7"/>
  <c r="BH80" i="7"/>
  <c r="BI90" i="7"/>
  <c r="J94" i="7"/>
  <c r="J67" i="7" s="1"/>
  <c r="J66" i="7" s="1"/>
  <c r="BJ96" i="7"/>
  <c r="BK50" i="7"/>
  <c r="BG60" i="7"/>
  <c r="BK65" i="7"/>
  <c r="BI70" i="7"/>
  <c r="BK75" i="7"/>
  <c r="E75" i="7"/>
  <c r="BI76" i="7"/>
  <c r="BI80" i="7"/>
  <c r="BJ90" i="7"/>
  <c r="K94" i="7"/>
  <c r="K67" i="7" s="1"/>
  <c r="K66" i="7" s="1"/>
  <c r="G23" i="7"/>
  <c r="G22" i="7" s="1"/>
  <c r="S23" i="7"/>
  <c r="S22" i="7" s="1"/>
  <c r="AE23" i="7"/>
  <c r="AE22" i="7" s="1"/>
  <c r="AQ23" i="7"/>
  <c r="AQ22" i="7" s="1"/>
  <c r="AQ103" i="7" s="1"/>
  <c r="BC23" i="7"/>
  <c r="BC22" i="7" s="1"/>
  <c r="BH60" i="7"/>
  <c r="F75" i="7"/>
  <c r="BJ75" i="7" s="1"/>
  <c r="BJ76" i="7"/>
  <c r="BJ80" i="7"/>
  <c r="BK93" i="7"/>
  <c r="BH93" i="7"/>
  <c r="L94" i="7"/>
  <c r="L67" i="7" s="1"/>
  <c r="L66" i="7" s="1"/>
  <c r="B13" i="7"/>
  <c r="B3" i="7" s="1"/>
  <c r="BI60" i="7"/>
  <c r="AJ67" i="7"/>
  <c r="AJ66" i="7" s="1"/>
  <c r="AV67" i="7"/>
  <c r="AV66" i="7" s="1"/>
  <c r="BH79" i="7"/>
  <c r="BI93" i="7"/>
  <c r="M94" i="7"/>
  <c r="BI94" i="7" s="1"/>
  <c r="BK102" i="7"/>
  <c r="B103" i="7" l="1"/>
  <c r="BL42" i="7"/>
  <c r="BK42" i="7"/>
  <c r="BH52" i="7"/>
  <c r="D51" i="7"/>
  <c r="BH51" i="7" s="1"/>
  <c r="AU103" i="7"/>
  <c r="BG17" i="7"/>
  <c r="C13" i="7"/>
  <c r="BG13" i="7" s="1"/>
  <c r="BG94" i="7"/>
  <c r="BL94" i="7" s="1"/>
  <c r="BL63" i="7"/>
  <c r="BK63" i="7"/>
  <c r="BG75" i="7"/>
  <c r="BL75" i="7" s="1"/>
  <c r="W22" i="7"/>
  <c r="X22" i="7"/>
  <c r="C52" i="7"/>
  <c r="BK94" i="7"/>
  <c r="B67" i="7"/>
  <c r="B66" i="7" s="1"/>
  <c r="BK5" i="7"/>
  <c r="BL5" i="7"/>
  <c r="AH103" i="7"/>
  <c r="AI103" i="7"/>
  <c r="F66" i="7"/>
  <c r="BJ66" i="7" s="1"/>
  <c r="BJ67" i="7"/>
  <c r="W103" i="7"/>
  <c r="AT103" i="7"/>
  <c r="D22" i="7"/>
  <c r="BH22" i="7" s="1"/>
  <c r="BH23" i="7"/>
  <c r="BI23" i="7"/>
  <c r="E22" i="7"/>
  <c r="BI22" i="7" s="1"/>
  <c r="R103" i="7"/>
  <c r="E51" i="7"/>
  <c r="BI51" i="7" s="1"/>
  <c r="BI52" i="7"/>
  <c r="BH5" i="7"/>
  <c r="D4" i="7"/>
  <c r="BH41" i="7"/>
  <c r="BI9" i="7"/>
  <c r="E4" i="7"/>
  <c r="BJ3" i="7"/>
  <c r="AK103" i="7"/>
  <c r="BH17" i="7"/>
  <c r="D13" i="7"/>
  <c r="BH13" i="7" s="1"/>
  <c r="C23" i="7"/>
  <c r="BK53" i="7"/>
  <c r="BL53" i="7"/>
  <c r="G3" i="7"/>
  <c r="G103" i="7" s="1"/>
  <c r="M67" i="7"/>
  <c r="M66" i="7" s="1"/>
  <c r="M103" i="7" s="1"/>
  <c r="BL57" i="7"/>
  <c r="BK57" i="7"/>
  <c r="Y103" i="7"/>
  <c r="S103" i="7"/>
  <c r="BK14" i="7"/>
  <c r="BL14" i="7"/>
  <c r="BG9" i="7"/>
  <c r="C4" i="7"/>
  <c r="BH94" i="7"/>
  <c r="J52" i="7"/>
  <c r="BJ53" i="7"/>
  <c r="BI75" i="7"/>
  <c r="X103" i="7"/>
  <c r="K103" i="7"/>
  <c r="BH71" i="7"/>
  <c r="D67" i="7"/>
  <c r="BJ41" i="7"/>
  <c r="V103" i="7"/>
  <c r="BJ94" i="7"/>
  <c r="BL39" i="7"/>
  <c r="BK39" i="7"/>
  <c r="T103" i="7"/>
  <c r="BG83" i="7"/>
  <c r="BG71" i="7"/>
  <c r="C67" i="7"/>
  <c r="E13" i="7"/>
  <c r="BI13" i="7" s="1"/>
  <c r="BF103" i="7"/>
  <c r="BI71" i="7"/>
  <c r="E67" i="7"/>
  <c r="F22" i="7"/>
  <c r="BJ22" i="7" s="1"/>
  <c r="BJ23" i="7"/>
  <c r="BL83" i="7" l="1"/>
  <c r="BK83" i="7"/>
  <c r="J51" i="7"/>
  <c r="BJ52" i="7"/>
  <c r="BH4" i="7"/>
  <c r="D3" i="7"/>
  <c r="BL9" i="7"/>
  <c r="BK9" i="7"/>
  <c r="BG23" i="7"/>
  <c r="C22" i="7"/>
  <c r="BG22" i="7" s="1"/>
  <c r="BH67" i="7"/>
  <c r="D66" i="7"/>
  <c r="BH66" i="7" s="1"/>
  <c r="F103" i="7"/>
  <c r="C51" i="7"/>
  <c r="BG51" i="7" s="1"/>
  <c r="BG52" i="7"/>
  <c r="BG4" i="7"/>
  <c r="C3" i="7"/>
  <c r="BL17" i="7"/>
  <c r="BK17" i="7"/>
  <c r="BI67" i="7"/>
  <c r="E66" i="7"/>
  <c r="BI66" i="7" s="1"/>
  <c r="BG67" i="7"/>
  <c r="C66" i="7"/>
  <c r="BG66" i="7" s="1"/>
  <c r="BI4" i="7"/>
  <c r="E3" i="7"/>
  <c r="BL71" i="7"/>
  <c r="BK71" i="7"/>
  <c r="BH3" i="7" l="1"/>
  <c r="D103" i="7"/>
  <c r="BH103" i="7" s="1"/>
  <c r="BI3" i="7"/>
  <c r="E103" i="7"/>
  <c r="BI103" i="7" s="1"/>
  <c r="C103" i="7"/>
  <c r="BG103" i="7" s="1"/>
  <c r="BK103" i="7" s="1"/>
  <c r="BG3" i="7"/>
  <c r="BJ51" i="7"/>
  <c r="J103" i="7"/>
  <c r="BJ103" i="7" s="1"/>
  <c r="U78" i="1" l="1"/>
  <c r="U79" i="1"/>
  <c r="U77" i="1"/>
  <c r="U75" i="1"/>
  <c r="U76" i="1"/>
  <c r="U74" i="1"/>
  <c r="U73" i="1"/>
  <c r="U70" i="1"/>
  <c r="U71" i="1"/>
  <c r="U72" i="1"/>
  <c r="U66" i="1"/>
  <c r="U67" i="1"/>
  <c r="U68" i="1"/>
  <c r="U69" i="1"/>
  <c r="U61" i="1"/>
  <c r="U62" i="1"/>
  <c r="U63" i="1"/>
  <c r="U64" i="1"/>
  <c r="U65" i="1"/>
  <c r="U60" i="1"/>
  <c r="U54" i="1"/>
  <c r="U55" i="1"/>
  <c r="U56" i="1"/>
  <c r="U57" i="1"/>
  <c r="U58" i="1"/>
  <c r="U59" i="1"/>
  <c r="U53" i="1"/>
  <c r="U51" i="1"/>
  <c r="U52" i="1"/>
  <c r="U50" i="1"/>
  <c r="U49" i="1"/>
  <c r="U48" i="1"/>
  <c r="U46" i="1"/>
  <c r="U45" i="1"/>
  <c r="U41" i="1"/>
  <c r="U43" i="1"/>
  <c r="U44" i="1"/>
  <c r="U40" i="1"/>
  <c r="U38" i="1"/>
  <c r="U39" i="1"/>
  <c r="U37" i="1"/>
  <c r="U35" i="1"/>
  <c r="U36" i="1"/>
  <c r="U34" i="1"/>
  <c r="U31" i="1"/>
  <c r="U32" i="1"/>
  <c r="U33" i="1"/>
  <c r="U30" i="1"/>
  <c r="U29" i="1"/>
  <c r="U28" i="1"/>
  <c r="U25" i="1"/>
  <c r="U26" i="1"/>
  <c r="U27" i="1"/>
  <c r="U16" i="1"/>
  <c r="U17" i="1"/>
  <c r="U18" i="1"/>
  <c r="U19" i="1"/>
  <c r="U20" i="1"/>
  <c r="U21" i="1"/>
  <c r="U22" i="1"/>
  <c r="U23" i="1"/>
  <c r="U24" i="1"/>
  <c r="U15" i="1"/>
  <c r="U12" i="1"/>
  <c r="U13" i="1"/>
  <c r="U14" i="1"/>
  <c r="U11" i="1"/>
  <c r="U10" i="1"/>
  <c r="U9" i="1"/>
  <c r="U7" i="1"/>
  <c r="U8" i="1"/>
  <c r="U6" i="1"/>
  <c r="U4" i="1"/>
  <c r="U5" i="1"/>
  <c r="U3" i="1"/>
  <c r="DV102" i="6"/>
  <c r="DU102" i="6"/>
  <c r="DT102" i="6"/>
  <c r="DS102" i="6"/>
  <c r="F102" i="6"/>
  <c r="DZ102" i="6" s="1"/>
  <c r="E102" i="6"/>
  <c r="DY102" i="6" s="1"/>
  <c r="D102" i="6"/>
  <c r="DX102" i="6" s="1"/>
  <c r="C102" i="6"/>
  <c r="DZ101" i="6"/>
  <c r="DV101" i="6"/>
  <c r="DU101" i="6"/>
  <c r="DT101" i="6"/>
  <c r="DS101" i="6"/>
  <c r="F101" i="6"/>
  <c r="E101" i="6"/>
  <c r="DY101" i="6" s="1"/>
  <c r="D101" i="6"/>
  <c r="C101" i="6"/>
  <c r="DW101" i="6" s="1"/>
  <c r="DZ100" i="6"/>
  <c r="DV100" i="6"/>
  <c r="DU100" i="6"/>
  <c r="DT100" i="6"/>
  <c r="DS100" i="6"/>
  <c r="F100" i="6"/>
  <c r="E100" i="6"/>
  <c r="D100" i="6"/>
  <c r="C100" i="6"/>
  <c r="DV99" i="6"/>
  <c r="DU99" i="6"/>
  <c r="DT99" i="6"/>
  <c r="DR99" i="6"/>
  <c r="DQ99" i="6"/>
  <c r="DP99" i="6"/>
  <c r="DO99" i="6"/>
  <c r="DN99" i="6"/>
  <c r="DM99" i="6"/>
  <c r="DL99" i="6"/>
  <c r="DK99" i="6"/>
  <c r="DJ99" i="6"/>
  <c r="DI99" i="6"/>
  <c r="DH99" i="6"/>
  <c r="DG99" i="6"/>
  <c r="DF99" i="6"/>
  <c r="DE99" i="6"/>
  <c r="DD99" i="6"/>
  <c r="DC99" i="6"/>
  <c r="DB99" i="6"/>
  <c r="DA99" i="6"/>
  <c r="CZ99" i="6"/>
  <c r="CY99" i="6"/>
  <c r="CX99" i="6"/>
  <c r="CW99" i="6"/>
  <c r="CV99" i="6"/>
  <c r="CU99" i="6"/>
  <c r="CT99" i="6"/>
  <c r="CS99" i="6"/>
  <c r="CR99" i="6"/>
  <c r="CQ99" i="6"/>
  <c r="CP99" i="6"/>
  <c r="CO99" i="6"/>
  <c r="CN99" i="6"/>
  <c r="CM99" i="6"/>
  <c r="CL99" i="6"/>
  <c r="CK99" i="6"/>
  <c r="CJ99" i="6"/>
  <c r="CI99" i="6"/>
  <c r="CH99" i="6"/>
  <c r="CG99" i="6"/>
  <c r="CF99" i="6"/>
  <c r="CE99" i="6"/>
  <c r="CD99" i="6"/>
  <c r="CC99" i="6"/>
  <c r="CB99" i="6"/>
  <c r="CA99" i="6"/>
  <c r="BZ99" i="6"/>
  <c r="BY99" i="6"/>
  <c r="BX99" i="6"/>
  <c r="BW99" i="6"/>
  <c r="BV99" i="6"/>
  <c r="BU99" i="6"/>
  <c r="BT99" i="6"/>
  <c r="BS99" i="6"/>
  <c r="BR99" i="6"/>
  <c r="BQ99" i="6"/>
  <c r="BP99" i="6"/>
  <c r="BO99" i="6"/>
  <c r="BN99" i="6"/>
  <c r="BM99" i="6"/>
  <c r="BM67" i="6" s="1"/>
  <c r="BM66" i="6" s="1"/>
  <c r="BL99" i="6"/>
  <c r="BK99" i="6"/>
  <c r="BJ99" i="6"/>
  <c r="BI99" i="6"/>
  <c r="BH99" i="6"/>
  <c r="BG99" i="6"/>
  <c r="BF99" i="6"/>
  <c r="BE99" i="6"/>
  <c r="BD99" i="6"/>
  <c r="BC99" i="6"/>
  <c r="BB99" i="6"/>
  <c r="BA99" i="6"/>
  <c r="BA67" i="6" s="1"/>
  <c r="AZ99" i="6"/>
  <c r="AY99" i="6"/>
  <c r="AX99" i="6"/>
  <c r="AW99" i="6"/>
  <c r="AV99" i="6"/>
  <c r="AU99" i="6"/>
  <c r="AT99" i="6"/>
  <c r="AS99" i="6"/>
  <c r="AR99" i="6"/>
  <c r="AQ99" i="6"/>
  <c r="AP99" i="6"/>
  <c r="AO99" i="6"/>
  <c r="AN99" i="6"/>
  <c r="AM99" i="6"/>
  <c r="AL99" i="6"/>
  <c r="AK99" i="6"/>
  <c r="AJ99" i="6"/>
  <c r="AI99" i="6"/>
  <c r="AH99" i="6"/>
  <c r="AG99" i="6"/>
  <c r="AF99" i="6"/>
  <c r="AE99" i="6"/>
  <c r="AD99" i="6"/>
  <c r="AC99" i="6"/>
  <c r="AB99" i="6"/>
  <c r="AA99" i="6"/>
  <c r="Z99" i="6"/>
  <c r="Y99" i="6"/>
  <c r="X99" i="6"/>
  <c r="W99" i="6"/>
  <c r="V99" i="6"/>
  <c r="U99" i="6"/>
  <c r="T99" i="6"/>
  <c r="S99" i="6"/>
  <c r="R99" i="6"/>
  <c r="Q99" i="6"/>
  <c r="Q67" i="6" s="1"/>
  <c r="Q66" i="6" s="1"/>
  <c r="P99" i="6"/>
  <c r="O99" i="6"/>
  <c r="N99" i="6"/>
  <c r="M99" i="6"/>
  <c r="L99" i="6"/>
  <c r="K99" i="6"/>
  <c r="J99" i="6"/>
  <c r="I99" i="6"/>
  <c r="H99" i="6"/>
  <c r="G99" i="6"/>
  <c r="E99" i="6"/>
  <c r="DY99" i="6" s="1"/>
  <c r="DV98" i="6"/>
  <c r="DU98" i="6"/>
  <c r="DT98" i="6"/>
  <c r="DT94" i="6" s="1"/>
  <c r="DS98" i="6"/>
  <c r="BV98" i="6"/>
  <c r="BU98" i="6"/>
  <c r="BT98" i="6"/>
  <c r="BS98" i="6"/>
  <c r="BR98" i="6"/>
  <c r="BQ98" i="6"/>
  <c r="BP98" i="6"/>
  <c r="BO98" i="6"/>
  <c r="BJ98" i="6"/>
  <c r="BI98" i="6"/>
  <c r="BH98" i="6"/>
  <c r="BG98" i="6"/>
  <c r="BB98" i="6"/>
  <c r="BA98" i="6"/>
  <c r="AZ98" i="6"/>
  <c r="AY98" i="6"/>
  <c r="DW98" i="6" s="1"/>
  <c r="AI98" i="6"/>
  <c r="AH98" i="6"/>
  <c r="AG98" i="6"/>
  <c r="AF98" i="6"/>
  <c r="AE98" i="6"/>
  <c r="F98" i="6"/>
  <c r="DZ98" i="6" s="1"/>
  <c r="E98" i="6"/>
  <c r="D98" i="6"/>
  <c r="C98" i="6"/>
  <c r="DV97" i="6"/>
  <c r="DU97" i="6"/>
  <c r="DT97" i="6"/>
  <c r="DS97" i="6"/>
  <c r="BV97" i="6"/>
  <c r="BU97" i="6"/>
  <c r="BT97" i="6"/>
  <c r="BS97" i="6"/>
  <c r="BR97" i="6"/>
  <c r="BQ97" i="6"/>
  <c r="BP97" i="6"/>
  <c r="BO97" i="6"/>
  <c r="BJ97" i="6"/>
  <c r="BI97" i="6"/>
  <c r="BH97" i="6"/>
  <c r="BG97" i="6"/>
  <c r="BB97" i="6"/>
  <c r="BA97" i="6"/>
  <c r="AZ97" i="6"/>
  <c r="DX97" i="6" s="1"/>
  <c r="AY97" i="6"/>
  <c r="AI97" i="6"/>
  <c r="AH97" i="6"/>
  <c r="DZ97" i="6" s="1"/>
  <c r="AG97" i="6"/>
  <c r="DY97" i="6" s="1"/>
  <c r="AF97" i="6"/>
  <c r="AE97" i="6"/>
  <c r="F97" i="6"/>
  <c r="E97" i="6"/>
  <c r="D97" i="6"/>
  <c r="C97" i="6"/>
  <c r="DV96" i="6"/>
  <c r="DU96" i="6"/>
  <c r="DT96" i="6"/>
  <c r="DS96" i="6"/>
  <c r="BV96" i="6"/>
  <c r="BU96" i="6"/>
  <c r="BT96" i="6"/>
  <c r="BT94" i="6" s="1"/>
  <c r="BS96" i="6"/>
  <c r="BS94" i="6" s="1"/>
  <c r="BR96" i="6"/>
  <c r="BQ96" i="6"/>
  <c r="BP96" i="6"/>
  <c r="BO96" i="6"/>
  <c r="BJ96" i="6"/>
  <c r="BI96" i="6"/>
  <c r="DY96" i="6" s="1"/>
  <c r="BH96" i="6"/>
  <c r="BG96" i="6"/>
  <c r="BB96" i="6"/>
  <c r="BA96" i="6"/>
  <c r="AZ96" i="6"/>
  <c r="AZ94" i="6" s="1"/>
  <c r="AZ67" i="6" s="1"/>
  <c r="AY96" i="6"/>
  <c r="AY94" i="6" s="1"/>
  <c r="AI96" i="6"/>
  <c r="AH96" i="6"/>
  <c r="AG96" i="6"/>
  <c r="AF96" i="6"/>
  <c r="AE96" i="6"/>
  <c r="DW96" i="6" s="1"/>
  <c r="F96" i="6"/>
  <c r="E96" i="6"/>
  <c r="D96" i="6"/>
  <c r="C96" i="6"/>
  <c r="DV95" i="6"/>
  <c r="DU95" i="6"/>
  <c r="DT95" i="6"/>
  <c r="DS95" i="6"/>
  <c r="BV95" i="6"/>
  <c r="BU95" i="6"/>
  <c r="BT95" i="6"/>
  <c r="BS95" i="6"/>
  <c r="BR95" i="6"/>
  <c r="BQ95" i="6"/>
  <c r="BQ94" i="6" s="1"/>
  <c r="BP95" i="6"/>
  <c r="BP94" i="6" s="1"/>
  <c r="BO95" i="6"/>
  <c r="BO94" i="6" s="1"/>
  <c r="BJ95" i="6"/>
  <c r="BI95" i="6"/>
  <c r="BH95" i="6"/>
  <c r="BG95" i="6"/>
  <c r="BB95" i="6"/>
  <c r="BA95" i="6"/>
  <c r="AZ95" i="6"/>
  <c r="AY95" i="6"/>
  <c r="AI95" i="6"/>
  <c r="AH95" i="6"/>
  <c r="AG95" i="6"/>
  <c r="AF95" i="6"/>
  <c r="AF94" i="6" s="1"/>
  <c r="AE95" i="6"/>
  <c r="F95" i="6"/>
  <c r="E95" i="6"/>
  <c r="D95" i="6"/>
  <c r="C95" i="6"/>
  <c r="DV94" i="6"/>
  <c r="DS94" i="6"/>
  <c r="DR94" i="6"/>
  <c r="DQ94" i="6"/>
  <c r="DP94" i="6"/>
  <c r="DO94" i="6"/>
  <c r="DN94" i="6"/>
  <c r="DM94" i="6"/>
  <c r="DL94" i="6"/>
  <c r="DK94" i="6"/>
  <c r="DJ94" i="6"/>
  <c r="DI94" i="6"/>
  <c r="DH94" i="6"/>
  <c r="DG94" i="6"/>
  <c r="DF94" i="6"/>
  <c r="DE94" i="6"/>
  <c r="DD94" i="6"/>
  <c r="DC94" i="6"/>
  <c r="DB94" i="6"/>
  <c r="DA94" i="6"/>
  <c r="CZ94" i="6"/>
  <c r="CY94" i="6"/>
  <c r="CX94" i="6"/>
  <c r="CW94" i="6"/>
  <c r="CV94" i="6"/>
  <c r="CU94" i="6"/>
  <c r="CT94" i="6"/>
  <c r="CS94" i="6"/>
  <c r="CR94" i="6"/>
  <c r="CQ94" i="6"/>
  <c r="CP94" i="6"/>
  <c r="CO94" i="6"/>
  <c r="CN94" i="6"/>
  <c r="CM94" i="6"/>
  <c r="CL94" i="6"/>
  <c r="CK94" i="6"/>
  <c r="CJ94" i="6"/>
  <c r="CI94" i="6"/>
  <c r="CH94" i="6"/>
  <c r="CG94" i="6"/>
  <c r="CF94" i="6"/>
  <c r="CE94" i="6"/>
  <c r="CD94" i="6"/>
  <c r="CC94" i="6"/>
  <c r="CB94" i="6"/>
  <c r="CA94" i="6"/>
  <c r="BZ94" i="6"/>
  <c r="BY94" i="6"/>
  <c r="BX94" i="6"/>
  <c r="BW94" i="6"/>
  <c r="BV94" i="6"/>
  <c r="BR94" i="6"/>
  <c r="BN94" i="6"/>
  <c r="BM94" i="6"/>
  <c r="BL94" i="6"/>
  <c r="BK94" i="6"/>
  <c r="BJ94" i="6"/>
  <c r="BF94" i="6"/>
  <c r="BE94" i="6"/>
  <c r="BD94" i="6"/>
  <c r="BC94" i="6"/>
  <c r="BB94" i="6"/>
  <c r="BA94" i="6"/>
  <c r="AX94" i="6"/>
  <c r="AW94" i="6"/>
  <c r="AV94" i="6"/>
  <c r="AU94" i="6"/>
  <c r="AT94" i="6"/>
  <c r="AT67" i="6" s="1"/>
  <c r="AT66" i="6" s="1"/>
  <c r="AS94" i="6"/>
  <c r="AS67" i="6" s="1"/>
  <c r="AS66" i="6" s="1"/>
  <c r="AR94" i="6"/>
  <c r="AQ94" i="6"/>
  <c r="AP94" i="6"/>
  <c r="AO94" i="6"/>
  <c r="AN94" i="6"/>
  <c r="AN67" i="6" s="1"/>
  <c r="AM94" i="6"/>
  <c r="AL94" i="6"/>
  <c r="AK94" i="6"/>
  <c r="AJ94" i="6"/>
  <c r="AH94" i="6"/>
  <c r="AE94" i="6"/>
  <c r="AD94" i="6"/>
  <c r="AC94" i="6"/>
  <c r="AB94" i="6"/>
  <c r="AA94" i="6"/>
  <c r="Z94" i="6"/>
  <c r="Y94" i="6"/>
  <c r="X94" i="6"/>
  <c r="W94" i="6"/>
  <c r="V94" i="6"/>
  <c r="U94" i="6"/>
  <c r="T94" i="6"/>
  <c r="S94" i="6"/>
  <c r="R94" i="6"/>
  <c r="Q94" i="6"/>
  <c r="P94" i="6"/>
  <c r="O94" i="6"/>
  <c r="N94" i="6"/>
  <c r="M94" i="6"/>
  <c r="L94" i="6"/>
  <c r="K94" i="6"/>
  <c r="J94" i="6"/>
  <c r="I94" i="6"/>
  <c r="H94" i="6"/>
  <c r="G94" i="6"/>
  <c r="D94" i="6"/>
  <c r="C94" i="6"/>
  <c r="CL93" i="6"/>
  <c r="CK93" i="6"/>
  <c r="CI93" i="6"/>
  <c r="AV93" i="6"/>
  <c r="AU93" i="6"/>
  <c r="J93" i="6"/>
  <c r="I93" i="6"/>
  <c r="I83" i="6" s="1"/>
  <c r="H93" i="6"/>
  <c r="G93" i="6"/>
  <c r="F93" i="6"/>
  <c r="E93" i="6"/>
  <c r="D93" i="6"/>
  <c r="C93" i="6"/>
  <c r="DX92" i="6"/>
  <c r="CL92" i="6"/>
  <c r="CK92" i="6"/>
  <c r="CI92" i="6"/>
  <c r="AV92" i="6"/>
  <c r="AU92" i="6"/>
  <c r="J92" i="6"/>
  <c r="I92" i="6"/>
  <c r="H92" i="6"/>
  <c r="G92" i="6"/>
  <c r="F92" i="6"/>
  <c r="E92" i="6"/>
  <c r="D92" i="6"/>
  <c r="C92" i="6"/>
  <c r="DW92" i="6" s="1"/>
  <c r="CL91" i="6"/>
  <c r="DZ91" i="6" s="1"/>
  <c r="CK91" i="6"/>
  <c r="CK83" i="6" s="1"/>
  <c r="CI91" i="6"/>
  <c r="AV91" i="6"/>
  <c r="AU91" i="6"/>
  <c r="J91" i="6"/>
  <c r="I91" i="6"/>
  <c r="H91" i="6"/>
  <c r="G91" i="6"/>
  <c r="F91" i="6"/>
  <c r="E91" i="6"/>
  <c r="D91" i="6"/>
  <c r="DX91" i="6" s="1"/>
  <c r="C91" i="6"/>
  <c r="DW91" i="6" s="1"/>
  <c r="DZ90" i="6"/>
  <c r="CL90" i="6"/>
  <c r="CK90" i="6"/>
  <c r="CI90" i="6"/>
  <c r="AV90" i="6"/>
  <c r="AU90" i="6"/>
  <c r="J90" i="6"/>
  <c r="I90" i="6"/>
  <c r="H90" i="6"/>
  <c r="G90" i="6"/>
  <c r="F90" i="6"/>
  <c r="E90" i="6"/>
  <c r="DY90" i="6" s="1"/>
  <c r="D90" i="6"/>
  <c r="DX90" i="6" s="1"/>
  <c r="C90" i="6"/>
  <c r="CL89" i="6"/>
  <c r="CK89" i="6"/>
  <c r="CI89" i="6"/>
  <c r="AV89" i="6"/>
  <c r="DX89" i="6" s="1"/>
  <c r="AU89" i="6"/>
  <c r="J89" i="6"/>
  <c r="I89" i="6"/>
  <c r="H89" i="6"/>
  <c r="G89" i="6"/>
  <c r="F89" i="6"/>
  <c r="DZ89" i="6" s="1"/>
  <c r="E89" i="6"/>
  <c r="DY89" i="6" s="1"/>
  <c r="D89" i="6"/>
  <c r="C89" i="6"/>
  <c r="DX88" i="6"/>
  <c r="CL88" i="6"/>
  <c r="CK88" i="6"/>
  <c r="CI88" i="6"/>
  <c r="AV88" i="6"/>
  <c r="AU88" i="6"/>
  <c r="J88" i="6"/>
  <c r="I88" i="6"/>
  <c r="H88" i="6"/>
  <c r="G88" i="6"/>
  <c r="F88" i="6"/>
  <c r="E88" i="6"/>
  <c r="DY88" i="6" s="1"/>
  <c r="D88" i="6"/>
  <c r="C88" i="6"/>
  <c r="DZ87" i="6"/>
  <c r="DY87" i="6"/>
  <c r="DX87" i="6"/>
  <c r="DW87" i="6"/>
  <c r="DZ86" i="6"/>
  <c r="DY86" i="6"/>
  <c r="DX86" i="6"/>
  <c r="DW86" i="6"/>
  <c r="DY85" i="6"/>
  <c r="CL85" i="6"/>
  <c r="CK85" i="6"/>
  <c r="CJ85" i="6"/>
  <c r="CI85" i="6"/>
  <c r="AV85" i="6"/>
  <c r="AU85" i="6"/>
  <c r="J85" i="6"/>
  <c r="I85" i="6"/>
  <c r="H85" i="6"/>
  <c r="H83" i="6" s="1"/>
  <c r="G85" i="6"/>
  <c r="F85" i="6"/>
  <c r="DZ85" i="6" s="1"/>
  <c r="E85" i="6"/>
  <c r="D85" i="6"/>
  <c r="C85" i="6"/>
  <c r="DY84" i="6"/>
  <c r="DX84" i="6"/>
  <c r="CL84" i="6"/>
  <c r="CK84" i="6"/>
  <c r="CJ84" i="6"/>
  <c r="CJ83" i="6" s="1"/>
  <c r="CI84" i="6"/>
  <c r="AV84" i="6"/>
  <c r="AU84" i="6"/>
  <c r="AU83" i="6" s="1"/>
  <c r="AU67" i="6" s="1"/>
  <c r="AU66" i="6" s="1"/>
  <c r="J84" i="6"/>
  <c r="I84" i="6"/>
  <c r="H84" i="6"/>
  <c r="G84" i="6"/>
  <c r="F84" i="6"/>
  <c r="E84" i="6"/>
  <c r="D84" i="6"/>
  <c r="D83" i="6" s="1"/>
  <c r="C84" i="6"/>
  <c r="DV83" i="6"/>
  <c r="DU83" i="6"/>
  <c r="DT83" i="6"/>
  <c r="DS83" i="6"/>
  <c r="DR83" i="6"/>
  <c r="DQ83" i="6"/>
  <c r="DP83" i="6"/>
  <c r="DO83" i="6"/>
  <c r="DN83" i="6"/>
  <c r="DM83" i="6"/>
  <c r="DL83" i="6"/>
  <c r="DK83" i="6"/>
  <c r="DJ83" i="6"/>
  <c r="DI83" i="6"/>
  <c r="DH83" i="6"/>
  <c r="DG83" i="6"/>
  <c r="DF83" i="6"/>
  <c r="DE83" i="6"/>
  <c r="DD83" i="6"/>
  <c r="DC83" i="6"/>
  <c r="DB83" i="6"/>
  <c r="DA83" i="6"/>
  <c r="CZ83" i="6"/>
  <c r="CY83" i="6"/>
  <c r="CX83" i="6"/>
  <c r="CW83" i="6"/>
  <c r="CV83" i="6"/>
  <c r="CU83" i="6"/>
  <c r="CT83" i="6"/>
  <c r="CS83" i="6"/>
  <c r="CR83" i="6"/>
  <c r="CQ83" i="6"/>
  <c r="CP83" i="6"/>
  <c r="CO83" i="6"/>
  <c r="CN83" i="6"/>
  <c r="CM83" i="6"/>
  <c r="CH83" i="6"/>
  <c r="CG83" i="6"/>
  <c r="CF83" i="6"/>
  <c r="CE83" i="6"/>
  <c r="CD83" i="6"/>
  <c r="CC83" i="6"/>
  <c r="CB83" i="6"/>
  <c r="CA83" i="6"/>
  <c r="BZ83" i="6"/>
  <c r="BY83" i="6"/>
  <c r="BX83" i="6"/>
  <c r="BW83" i="6"/>
  <c r="BV83" i="6"/>
  <c r="BU83" i="6"/>
  <c r="BT83" i="6"/>
  <c r="BS83" i="6"/>
  <c r="BR83" i="6"/>
  <c r="BQ83" i="6"/>
  <c r="BQ67" i="6" s="1"/>
  <c r="BQ66" i="6" s="1"/>
  <c r="BP83" i="6"/>
  <c r="BO83" i="6"/>
  <c r="BN83" i="6"/>
  <c r="BM83" i="6"/>
  <c r="BL83" i="6"/>
  <c r="BK83" i="6"/>
  <c r="BJ83" i="6"/>
  <c r="BI83" i="6"/>
  <c r="BH83" i="6"/>
  <c r="BG83" i="6"/>
  <c r="BF83" i="6"/>
  <c r="BE83" i="6"/>
  <c r="BD83" i="6"/>
  <c r="BC83" i="6"/>
  <c r="BB83" i="6"/>
  <c r="BA83" i="6"/>
  <c r="AZ83" i="6"/>
  <c r="AY83" i="6"/>
  <c r="AX83" i="6"/>
  <c r="AW83" i="6"/>
  <c r="AT83" i="6"/>
  <c r="AS83" i="6"/>
  <c r="AR83" i="6"/>
  <c r="AQ83" i="6"/>
  <c r="AP83" i="6"/>
  <c r="AO83" i="6"/>
  <c r="AN83" i="6"/>
  <c r="AM83" i="6"/>
  <c r="AL83" i="6"/>
  <c r="AK83" i="6"/>
  <c r="AJ83" i="6"/>
  <c r="AI83" i="6"/>
  <c r="AH83" i="6"/>
  <c r="AG83" i="6"/>
  <c r="AF83" i="6"/>
  <c r="AE83" i="6"/>
  <c r="AD83" i="6"/>
  <c r="AC83" i="6"/>
  <c r="AB83" i="6"/>
  <c r="AA83" i="6"/>
  <c r="Z83" i="6"/>
  <c r="Y83" i="6"/>
  <c r="X83" i="6"/>
  <c r="W83" i="6"/>
  <c r="V83" i="6"/>
  <c r="U83" i="6"/>
  <c r="T83" i="6"/>
  <c r="S83" i="6"/>
  <c r="R83" i="6"/>
  <c r="Q83" i="6"/>
  <c r="P83" i="6"/>
  <c r="O83" i="6"/>
  <c r="N83" i="6"/>
  <c r="M83" i="6"/>
  <c r="L83" i="6"/>
  <c r="K83" i="6"/>
  <c r="DS82" i="6"/>
  <c r="Z82" i="6"/>
  <c r="Y82" i="6"/>
  <c r="X82" i="6"/>
  <c r="W82" i="6"/>
  <c r="V82" i="6"/>
  <c r="U82" i="6"/>
  <c r="T82" i="6"/>
  <c r="S82" i="6"/>
  <c r="P82" i="6"/>
  <c r="O82" i="6"/>
  <c r="N82" i="6"/>
  <c r="M82" i="6"/>
  <c r="L82" i="6"/>
  <c r="K82" i="6"/>
  <c r="DW82" i="6" s="1"/>
  <c r="J82" i="6"/>
  <c r="DZ82" i="6" s="1"/>
  <c r="I82" i="6"/>
  <c r="H82" i="6"/>
  <c r="G82" i="6"/>
  <c r="F82" i="6"/>
  <c r="E82" i="6"/>
  <c r="D82" i="6"/>
  <c r="C82" i="6"/>
  <c r="DX81" i="6"/>
  <c r="DS81" i="6"/>
  <c r="DS75" i="6" s="1"/>
  <c r="Z81" i="6"/>
  <c r="Y81" i="6"/>
  <c r="X81" i="6"/>
  <c r="W81" i="6"/>
  <c r="V81" i="6"/>
  <c r="U81" i="6"/>
  <c r="T81" i="6"/>
  <c r="S81" i="6"/>
  <c r="P81" i="6"/>
  <c r="O81" i="6"/>
  <c r="N81" i="6"/>
  <c r="DZ81" i="6" s="1"/>
  <c r="M81" i="6"/>
  <c r="L81" i="6"/>
  <c r="K81" i="6"/>
  <c r="J81" i="6"/>
  <c r="I81" i="6"/>
  <c r="H81" i="6"/>
  <c r="G81" i="6"/>
  <c r="F81" i="6"/>
  <c r="E81" i="6"/>
  <c r="DY81" i="6" s="1"/>
  <c r="D81" i="6"/>
  <c r="C81" i="6"/>
  <c r="DZ80" i="6"/>
  <c r="DY80" i="6"/>
  <c r="DS80" i="6"/>
  <c r="Z80" i="6"/>
  <c r="Y80" i="6"/>
  <c r="X80" i="6"/>
  <c r="W80" i="6"/>
  <c r="V80" i="6"/>
  <c r="U80" i="6"/>
  <c r="T80" i="6"/>
  <c r="S80" i="6"/>
  <c r="P80" i="6"/>
  <c r="P75" i="6" s="1"/>
  <c r="P67" i="6" s="1"/>
  <c r="P66" i="6" s="1"/>
  <c r="O80" i="6"/>
  <c r="N80" i="6"/>
  <c r="M80" i="6"/>
  <c r="L80" i="6"/>
  <c r="K80" i="6"/>
  <c r="J80" i="6"/>
  <c r="I80" i="6"/>
  <c r="H80" i="6"/>
  <c r="G80" i="6"/>
  <c r="F80" i="6"/>
  <c r="E80" i="6"/>
  <c r="D80" i="6"/>
  <c r="C80" i="6"/>
  <c r="DX79" i="6"/>
  <c r="DW79" i="6"/>
  <c r="DS79" i="6"/>
  <c r="Z79" i="6"/>
  <c r="Y79" i="6"/>
  <c r="X79" i="6"/>
  <c r="W79" i="6"/>
  <c r="V79" i="6"/>
  <c r="U79" i="6"/>
  <c r="U75" i="6" s="1"/>
  <c r="U67" i="6" s="1"/>
  <c r="T79" i="6"/>
  <c r="S79" i="6"/>
  <c r="P79" i="6"/>
  <c r="O79" i="6"/>
  <c r="O75" i="6" s="1"/>
  <c r="O67" i="6" s="1"/>
  <c r="O66" i="6" s="1"/>
  <c r="N79" i="6"/>
  <c r="M79" i="6"/>
  <c r="L79" i="6"/>
  <c r="K79" i="6"/>
  <c r="J79" i="6"/>
  <c r="I79" i="6"/>
  <c r="H79" i="6"/>
  <c r="G79" i="6"/>
  <c r="F79" i="6"/>
  <c r="E79" i="6"/>
  <c r="D79" i="6"/>
  <c r="C79" i="6"/>
  <c r="C75" i="6" s="1"/>
  <c r="DZ78" i="6"/>
  <c r="DS78" i="6"/>
  <c r="Z78" i="6"/>
  <c r="Y78" i="6"/>
  <c r="X78" i="6"/>
  <c r="W78" i="6"/>
  <c r="V78" i="6"/>
  <c r="U78" i="6"/>
  <c r="T78" i="6"/>
  <c r="S78" i="6"/>
  <c r="DW78" i="6" s="1"/>
  <c r="P78" i="6"/>
  <c r="O78" i="6"/>
  <c r="N78" i="6"/>
  <c r="M78" i="6"/>
  <c r="L78" i="6"/>
  <c r="K78" i="6"/>
  <c r="J78" i="6"/>
  <c r="I78" i="6"/>
  <c r="H78" i="6"/>
  <c r="G78" i="6"/>
  <c r="F78" i="6"/>
  <c r="E78" i="6"/>
  <c r="DY78" i="6" s="1"/>
  <c r="D78" i="6"/>
  <c r="C78" i="6"/>
  <c r="DS77" i="6"/>
  <c r="Z77" i="6"/>
  <c r="Y77" i="6"/>
  <c r="X77" i="6"/>
  <c r="W77" i="6"/>
  <c r="V77" i="6"/>
  <c r="U77" i="6"/>
  <c r="T77" i="6"/>
  <c r="S77" i="6"/>
  <c r="P77" i="6"/>
  <c r="O77" i="6"/>
  <c r="N77" i="6"/>
  <c r="M77" i="6"/>
  <c r="L77" i="6"/>
  <c r="K77" i="6"/>
  <c r="J77" i="6"/>
  <c r="I77" i="6"/>
  <c r="H77" i="6"/>
  <c r="DX77" i="6" s="1"/>
  <c r="G77" i="6"/>
  <c r="F77" i="6"/>
  <c r="E77" i="6"/>
  <c r="D77" i="6"/>
  <c r="C77" i="6"/>
  <c r="DS76" i="6"/>
  <c r="Z76" i="6"/>
  <c r="Y76" i="6"/>
  <c r="Y75" i="6" s="1"/>
  <c r="X76" i="6"/>
  <c r="X75" i="6" s="1"/>
  <c r="W76" i="6"/>
  <c r="W75" i="6" s="1"/>
  <c r="V76" i="6"/>
  <c r="U76" i="6"/>
  <c r="T76" i="6"/>
  <c r="S76" i="6"/>
  <c r="P76" i="6"/>
  <c r="O76" i="6"/>
  <c r="N76" i="6"/>
  <c r="M76" i="6"/>
  <c r="L76" i="6"/>
  <c r="K76" i="6"/>
  <c r="K75" i="6" s="1"/>
  <c r="J76" i="6"/>
  <c r="J75" i="6" s="1"/>
  <c r="I76" i="6"/>
  <c r="H76" i="6"/>
  <c r="G76" i="6"/>
  <c r="F76" i="6"/>
  <c r="E76" i="6"/>
  <c r="D76" i="6"/>
  <c r="C76" i="6"/>
  <c r="DV75" i="6"/>
  <c r="DU75" i="6"/>
  <c r="DT75" i="6"/>
  <c r="DR75" i="6"/>
  <c r="DQ75" i="6"/>
  <c r="DP75" i="6"/>
  <c r="DO75" i="6"/>
  <c r="DN75" i="6"/>
  <c r="DM75" i="6"/>
  <c r="DL75" i="6"/>
  <c r="DL67" i="6" s="1"/>
  <c r="DK75" i="6"/>
  <c r="DK67" i="6" s="1"/>
  <c r="DK66" i="6" s="1"/>
  <c r="DJ75" i="6"/>
  <c r="DJ67" i="6" s="1"/>
  <c r="DJ66" i="6" s="1"/>
  <c r="DI75" i="6"/>
  <c r="DH75" i="6"/>
  <c r="DG75" i="6"/>
  <c r="DF75" i="6"/>
  <c r="DE75" i="6"/>
  <c r="DD75" i="6"/>
  <c r="DC75" i="6"/>
  <c r="DB75" i="6"/>
  <c r="DA75" i="6"/>
  <c r="CZ75" i="6"/>
  <c r="CZ67" i="6" s="1"/>
  <c r="CZ66" i="6" s="1"/>
  <c r="CY75" i="6"/>
  <c r="CX75" i="6"/>
  <c r="CX67" i="6" s="1"/>
  <c r="CX66" i="6" s="1"/>
  <c r="CW75" i="6"/>
  <c r="CV75" i="6"/>
  <c r="CU75" i="6"/>
  <c r="CT75" i="6"/>
  <c r="CS75" i="6"/>
  <c r="CR75" i="6"/>
  <c r="CQ75" i="6"/>
  <c r="CP75" i="6"/>
  <c r="CO75" i="6"/>
  <c r="CN75" i="6"/>
  <c r="CM75" i="6"/>
  <c r="CL75" i="6"/>
  <c r="CK75" i="6"/>
  <c r="CJ75" i="6"/>
  <c r="CI75" i="6"/>
  <c r="CH75" i="6"/>
  <c r="CG75" i="6"/>
  <c r="CF75" i="6"/>
  <c r="CE75" i="6"/>
  <c r="CD75" i="6"/>
  <c r="CC75" i="6"/>
  <c r="CB75" i="6"/>
  <c r="CB67" i="6" s="1"/>
  <c r="CB66" i="6" s="1"/>
  <c r="CA75" i="6"/>
  <c r="CA67" i="6" s="1"/>
  <c r="BZ75" i="6"/>
  <c r="BZ67" i="6" s="1"/>
  <c r="BY75" i="6"/>
  <c r="BX75" i="6"/>
  <c r="BW75" i="6"/>
  <c r="BV75" i="6"/>
  <c r="BU75" i="6"/>
  <c r="BT75" i="6"/>
  <c r="BS75" i="6"/>
  <c r="BR75" i="6"/>
  <c r="BQ75" i="6"/>
  <c r="BP75" i="6"/>
  <c r="BO75" i="6"/>
  <c r="BO67" i="6" s="1"/>
  <c r="BO66" i="6" s="1"/>
  <c r="BN75" i="6"/>
  <c r="BM75" i="6"/>
  <c r="BL75" i="6"/>
  <c r="BK75" i="6"/>
  <c r="BJ75" i="6"/>
  <c r="BI75" i="6"/>
  <c r="BH75" i="6"/>
  <c r="BG75" i="6"/>
  <c r="BF75" i="6"/>
  <c r="BE75" i="6"/>
  <c r="BD75" i="6"/>
  <c r="BD67" i="6" s="1"/>
  <c r="BD66" i="6" s="1"/>
  <c r="BC75" i="6"/>
  <c r="BB75" i="6"/>
  <c r="BA75" i="6"/>
  <c r="AZ75" i="6"/>
  <c r="AY75" i="6"/>
  <c r="AX75" i="6"/>
  <c r="AW75" i="6"/>
  <c r="AV75" i="6"/>
  <c r="AU75" i="6"/>
  <c r="AT75" i="6"/>
  <c r="AS75" i="6"/>
  <c r="AR75" i="6"/>
  <c r="AR67" i="6" s="1"/>
  <c r="AR66" i="6" s="1"/>
  <c r="AQ75" i="6"/>
  <c r="AP75" i="6"/>
  <c r="AO75" i="6"/>
  <c r="AN75" i="6"/>
  <c r="AM75" i="6"/>
  <c r="AM67" i="6" s="1"/>
  <c r="AM66" i="6" s="1"/>
  <c r="AL75" i="6"/>
  <c r="AK75" i="6"/>
  <c r="AJ75" i="6"/>
  <c r="AI75" i="6"/>
  <c r="AH75" i="6"/>
  <c r="AG75" i="6"/>
  <c r="AF75" i="6"/>
  <c r="AE75" i="6"/>
  <c r="AD75" i="6"/>
  <c r="AC75" i="6"/>
  <c r="AB75" i="6"/>
  <c r="AA75" i="6"/>
  <c r="R75" i="6"/>
  <c r="Q75" i="6"/>
  <c r="I75" i="6"/>
  <c r="H75" i="6"/>
  <c r="G75" i="6"/>
  <c r="DX74" i="6"/>
  <c r="DW74" i="6"/>
  <c r="AI74" i="6"/>
  <c r="AE74" i="6"/>
  <c r="AD74" i="6"/>
  <c r="AC74" i="6"/>
  <c r="AB74" i="6"/>
  <c r="AA74" i="6"/>
  <c r="J74" i="6"/>
  <c r="I74" i="6"/>
  <c r="H74" i="6"/>
  <c r="G74" i="6"/>
  <c r="F74" i="6"/>
  <c r="DZ74" i="6" s="1"/>
  <c r="E74" i="6"/>
  <c r="DY74" i="6" s="1"/>
  <c r="D74" i="6"/>
  <c r="C74" i="6"/>
  <c r="AI73" i="6"/>
  <c r="AE73" i="6"/>
  <c r="AD73" i="6"/>
  <c r="AC73" i="6"/>
  <c r="DY73" i="6" s="1"/>
  <c r="AB73" i="6"/>
  <c r="AB71" i="6" s="1"/>
  <c r="AA73" i="6"/>
  <c r="J73" i="6"/>
  <c r="I73" i="6"/>
  <c r="H73" i="6"/>
  <c r="G73" i="6"/>
  <c r="F73" i="6"/>
  <c r="DZ73" i="6" s="1"/>
  <c r="E73" i="6"/>
  <c r="D73" i="6"/>
  <c r="C73" i="6"/>
  <c r="DY72" i="6"/>
  <c r="DX72" i="6"/>
  <c r="AI72" i="6"/>
  <c r="AI71" i="6" s="1"/>
  <c r="AE72" i="6"/>
  <c r="AD72" i="6"/>
  <c r="AC72" i="6"/>
  <c r="AB72" i="6"/>
  <c r="AA72" i="6"/>
  <c r="J72" i="6"/>
  <c r="I72" i="6"/>
  <c r="I71" i="6" s="1"/>
  <c r="H72" i="6"/>
  <c r="G72" i="6"/>
  <c r="F72" i="6"/>
  <c r="E72" i="6"/>
  <c r="D72" i="6"/>
  <c r="C72" i="6"/>
  <c r="DV71" i="6"/>
  <c r="DU71" i="6"/>
  <c r="DT71" i="6"/>
  <c r="DS71" i="6"/>
  <c r="DR71" i="6"/>
  <c r="DQ71" i="6"/>
  <c r="DP71" i="6"/>
  <c r="DO71" i="6"/>
  <c r="DN71" i="6"/>
  <c r="DM71" i="6"/>
  <c r="DL71" i="6"/>
  <c r="DK71" i="6"/>
  <c r="DJ71" i="6"/>
  <c r="DI71" i="6"/>
  <c r="DH71" i="6"/>
  <c r="DG71" i="6"/>
  <c r="DF71" i="6"/>
  <c r="DE71" i="6"/>
  <c r="DD71" i="6"/>
  <c r="DC71" i="6"/>
  <c r="DB71" i="6"/>
  <c r="DA71" i="6"/>
  <c r="CZ71" i="6"/>
  <c r="CY71" i="6"/>
  <c r="CX71" i="6"/>
  <c r="CW71" i="6"/>
  <c r="CV71" i="6"/>
  <c r="CU71" i="6"/>
  <c r="CT71" i="6"/>
  <c r="CS71" i="6"/>
  <c r="CR71" i="6"/>
  <c r="CQ71" i="6"/>
  <c r="CP71" i="6"/>
  <c r="CO71" i="6"/>
  <c r="CN71" i="6"/>
  <c r="CM71" i="6"/>
  <c r="CL71" i="6"/>
  <c r="CK71" i="6"/>
  <c r="CJ71" i="6"/>
  <c r="CI71" i="6"/>
  <c r="CH71" i="6"/>
  <c r="CG71" i="6"/>
  <c r="CF71" i="6"/>
  <c r="CE71" i="6"/>
  <c r="CD71" i="6"/>
  <c r="CC71" i="6"/>
  <c r="CB71" i="6"/>
  <c r="CA71" i="6"/>
  <c r="BZ71" i="6"/>
  <c r="BY71" i="6"/>
  <c r="BX71" i="6"/>
  <c r="BW71" i="6"/>
  <c r="BV71" i="6"/>
  <c r="BU71" i="6"/>
  <c r="BT71" i="6"/>
  <c r="BT67" i="6" s="1"/>
  <c r="BT66" i="6" s="1"/>
  <c r="BS71" i="6"/>
  <c r="BR71" i="6"/>
  <c r="BQ71" i="6"/>
  <c r="BP71" i="6"/>
  <c r="BO71" i="6"/>
  <c r="BN71" i="6"/>
  <c r="BM71" i="6"/>
  <c r="BL71" i="6"/>
  <c r="BL67" i="6" s="1"/>
  <c r="BK71" i="6"/>
  <c r="BJ71" i="6"/>
  <c r="BI71" i="6"/>
  <c r="BH71" i="6"/>
  <c r="BG71" i="6"/>
  <c r="BF71" i="6"/>
  <c r="BE71" i="6"/>
  <c r="BD71" i="6"/>
  <c r="BC71" i="6"/>
  <c r="BB71" i="6"/>
  <c r="BA71" i="6"/>
  <c r="AZ71" i="6"/>
  <c r="AY71" i="6"/>
  <c r="AX71" i="6"/>
  <c r="AW71" i="6"/>
  <c r="AV71" i="6"/>
  <c r="AU71" i="6"/>
  <c r="AT71" i="6"/>
  <c r="AS71" i="6"/>
  <c r="AR71" i="6"/>
  <c r="AQ71" i="6"/>
  <c r="AP71" i="6"/>
  <c r="AO71" i="6"/>
  <c r="AN71" i="6"/>
  <c r="AM71" i="6"/>
  <c r="AL71" i="6"/>
  <c r="AK71" i="6"/>
  <c r="AJ71" i="6"/>
  <c r="AH71" i="6"/>
  <c r="AG71" i="6"/>
  <c r="AF71" i="6"/>
  <c r="AD71" i="6"/>
  <c r="Z71" i="6"/>
  <c r="Y71" i="6"/>
  <c r="X71" i="6"/>
  <c r="W71" i="6"/>
  <c r="V71" i="6"/>
  <c r="U71" i="6"/>
  <c r="T71" i="6"/>
  <c r="S71" i="6"/>
  <c r="R71" i="6"/>
  <c r="Q71" i="6"/>
  <c r="P71" i="6"/>
  <c r="O71" i="6"/>
  <c r="N71" i="6"/>
  <c r="M71" i="6"/>
  <c r="L71" i="6"/>
  <c r="K71" i="6"/>
  <c r="J71" i="6"/>
  <c r="D71" i="6"/>
  <c r="C71" i="6"/>
  <c r="DK70" i="6"/>
  <c r="DG70" i="6"/>
  <c r="DF70" i="6"/>
  <c r="DE70" i="6"/>
  <c r="DD70" i="6"/>
  <c r="DX70" i="6" s="1"/>
  <c r="DC70" i="6"/>
  <c r="CY70" i="6"/>
  <c r="CY68" i="6" s="1"/>
  <c r="CU70" i="6"/>
  <c r="G70" i="6"/>
  <c r="G68" i="6" s="1"/>
  <c r="F70" i="6"/>
  <c r="E70" i="6"/>
  <c r="DY70" i="6" s="1"/>
  <c r="D70" i="6"/>
  <c r="C70" i="6"/>
  <c r="DK69" i="6"/>
  <c r="DK68" i="6" s="1"/>
  <c r="DG69" i="6"/>
  <c r="DG68" i="6" s="1"/>
  <c r="DG67" i="6" s="1"/>
  <c r="DF69" i="6"/>
  <c r="DF68" i="6" s="1"/>
  <c r="DE69" i="6"/>
  <c r="DD69" i="6"/>
  <c r="DC69" i="6"/>
  <c r="CY69" i="6"/>
  <c r="CU69" i="6"/>
  <c r="G69" i="6"/>
  <c r="F69" i="6"/>
  <c r="E69" i="6"/>
  <c r="D69" i="6"/>
  <c r="D68" i="6" s="1"/>
  <c r="C69" i="6"/>
  <c r="DV68" i="6"/>
  <c r="DU68" i="6"/>
  <c r="DT68" i="6"/>
  <c r="DS68" i="6"/>
  <c r="DR68" i="6"/>
  <c r="DQ68" i="6"/>
  <c r="DP68" i="6"/>
  <c r="DO68" i="6"/>
  <c r="DO67" i="6" s="1"/>
  <c r="DO66" i="6" s="1"/>
  <c r="DN68" i="6"/>
  <c r="DN67" i="6" s="1"/>
  <c r="DN66" i="6" s="1"/>
  <c r="DM68" i="6"/>
  <c r="DM67" i="6" s="1"/>
  <c r="DM66" i="6" s="1"/>
  <c r="DL68" i="6"/>
  <c r="DJ68" i="6"/>
  <c r="DI68" i="6"/>
  <c r="DH68" i="6"/>
  <c r="DH67" i="6" s="1"/>
  <c r="DH66" i="6" s="1"/>
  <c r="DB68" i="6"/>
  <c r="DB67" i="6" s="1"/>
  <c r="DB66" i="6" s="1"/>
  <c r="DA68" i="6"/>
  <c r="DA67" i="6" s="1"/>
  <c r="DA66" i="6" s="1"/>
  <c r="CZ68" i="6"/>
  <c r="CX68" i="6"/>
  <c r="CW68" i="6"/>
  <c r="CV68" i="6"/>
  <c r="CV67" i="6" s="1"/>
  <c r="CV66" i="6" s="1"/>
  <c r="CU68" i="6"/>
  <c r="CU67" i="6" s="1"/>
  <c r="CU66" i="6" s="1"/>
  <c r="CT68" i="6"/>
  <c r="CS68" i="6"/>
  <c r="CR68" i="6"/>
  <c r="CQ68" i="6"/>
  <c r="CP68" i="6"/>
  <c r="CO68" i="6"/>
  <c r="CO67" i="6" s="1"/>
  <c r="CO66" i="6" s="1"/>
  <c r="CN68" i="6"/>
  <c r="CM68" i="6"/>
  <c r="CL68" i="6"/>
  <c r="CK68" i="6"/>
  <c r="CJ68" i="6"/>
  <c r="CI68" i="6"/>
  <c r="CH68" i="6"/>
  <c r="CG68" i="6"/>
  <c r="CF68" i="6"/>
  <c r="CE68" i="6"/>
  <c r="CD68" i="6"/>
  <c r="CC68" i="6"/>
  <c r="CC67" i="6" s="1"/>
  <c r="CC66" i="6" s="1"/>
  <c r="CB68" i="6"/>
  <c r="CA68" i="6"/>
  <c r="BZ68" i="6"/>
  <c r="BY68" i="6"/>
  <c r="BY67" i="6" s="1"/>
  <c r="BY66" i="6" s="1"/>
  <c r="BX68" i="6"/>
  <c r="BX67" i="6" s="1"/>
  <c r="BX66" i="6" s="1"/>
  <c r="BW68" i="6"/>
  <c r="BW67" i="6" s="1"/>
  <c r="BW66" i="6" s="1"/>
  <c r="BS68" i="6"/>
  <c r="BR68" i="6"/>
  <c r="BQ68" i="6"/>
  <c r="BP68" i="6"/>
  <c r="BO68" i="6"/>
  <c r="BN68" i="6"/>
  <c r="BN67" i="6" s="1"/>
  <c r="BN66" i="6" s="1"/>
  <c r="BM68" i="6"/>
  <c r="BL68" i="6"/>
  <c r="BK68" i="6"/>
  <c r="BJ68" i="6"/>
  <c r="BJ67" i="6" s="1"/>
  <c r="BJ66" i="6" s="1"/>
  <c r="BI68" i="6"/>
  <c r="BH68" i="6"/>
  <c r="BG68" i="6"/>
  <c r="BF68" i="6"/>
  <c r="BE68" i="6"/>
  <c r="BD68" i="6"/>
  <c r="BC68" i="6"/>
  <c r="BB68" i="6"/>
  <c r="BB67" i="6" s="1"/>
  <c r="BB66" i="6" s="1"/>
  <c r="BA68" i="6"/>
  <c r="AZ68" i="6"/>
  <c r="AY68" i="6"/>
  <c r="AX68" i="6"/>
  <c r="AX67" i="6" s="1"/>
  <c r="AX66" i="6" s="1"/>
  <c r="AW68" i="6"/>
  <c r="AV68" i="6"/>
  <c r="AU68" i="6"/>
  <c r="AT68" i="6"/>
  <c r="AS68" i="6"/>
  <c r="AR68" i="6"/>
  <c r="AQ68" i="6"/>
  <c r="AQ67" i="6" s="1"/>
  <c r="AQ66" i="6" s="1"/>
  <c r="AP68" i="6"/>
  <c r="AP67" i="6" s="1"/>
  <c r="AP66" i="6" s="1"/>
  <c r="AO68" i="6"/>
  <c r="AN68" i="6"/>
  <c r="AM68" i="6"/>
  <c r="AL68" i="6"/>
  <c r="AL67" i="6" s="1"/>
  <c r="AL66" i="6" s="1"/>
  <c r="AK68" i="6"/>
  <c r="AJ68" i="6"/>
  <c r="AI68" i="6"/>
  <c r="AH68" i="6"/>
  <c r="AG68" i="6"/>
  <c r="AF68" i="6"/>
  <c r="AE68" i="6"/>
  <c r="AD68" i="6"/>
  <c r="AD67" i="6" s="1"/>
  <c r="AD66" i="6" s="1"/>
  <c r="AC68" i="6"/>
  <c r="AB68" i="6"/>
  <c r="AA68" i="6"/>
  <c r="Z68" i="6"/>
  <c r="Y68" i="6"/>
  <c r="X68" i="6"/>
  <c r="W68" i="6"/>
  <c r="W67" i="6" s="1"/>
  <c r="W66" i="6" s="1"/>
  <c r="V68" i="6"/>
  <c r="U68" i="6"/>
  <c r="T68" i="6"/>
  <c r="S68" i="6"/>
  <c r="R68" i="6"/>
  <c r="R67" i="6" s="1"/>
  <c r="R66" i="6" s="1"/>
  <c r="Q68" i="6"/>
  <c r="P68" i="6"/>
  <c r="O68" i="6"/>
  <c r="N68" i="6"/>
  <c r="M68" i="6"/>
  <c r="L68" i="6"/>
  <c r="K68" i="6"/>
  <c r="J68" i="6"/>
  <c r="I68" i="6"/>
  <c r="H68" i="6"/>
  <c r="DV67" i="6"/>
  <c r="DV66" i="6" s="1"/>
  <c r="DT67" i="6"/>
  <c r="DT66" i="6" s="1"/>
  <c r="CQ67" i="6"/>
  <c r="CQ66" i="6" s="1"/>
  <c r="CP67" i="6"/>
  <c r="CP66" i="6" s="1"/>
  <c r="CN67" i="6"/>
  <c r="CN66" i="6" s="1"/>
  <c r="CM67" i="6"/>
  <c r="CM66" i="6" s="1"/>
  <c r="CJ67" i="6"/>
  <c r="CJ66" i="6" s="1"/>
  <c r="CE67" i="6"/>
  <c r="CE66" i="6" s="1"/>
  <c r="CD67" i="6"/>
  <c r="CD66" i="6" s="1"/>
  <c r="BP67" i="6"/>
  <c r="BP66" i="6" s="1"/>
  <c r="BF67" i="6"/>
  <c r="BF66" i="6" s="1"/>
  <c r="BC67" i="6"/>
  <c r="BC66" i="6" s="1"/>
  <c r="AY67" i="6"/>
  <c r="AY66" i="6" s="1"/>
  <c r="AH67" i="6"/>
  <c r="AH66" i="6" s="1"/>
  <c r="AF67" i="6"/>
  <c r="AF66" i="6" s="1"/>
  <c r="AB67" i="6"/>
  <c r="AB66" i="6" s="1"/>
  <c r="DL66" i="6"/>
  <c r="DG66" i="6"/>
  <c r="CA66" i="6"/>
  <c r="BZ66" i="6"/>
  <c r="BL66" i="6"/>
  <c r="BA66" i="6"/>
  <c r="AZ66" i="6"/>
  <c r="AN66" i="6"/>
  <c r="U66" i="6"/>
  <c r="DZ65" i="6"/>
  <c r="DO65" i="6"/>
  <c r="CM65" i="6"/>
  <c r="AP65" i="6"/>
  <c r="AO65" i="6"/>
  <c r="AN65" i="6"/>
  <c r="AM65" i="6"/>
  <c r="DW65" i="6" s="1"/>
  <c r="F65" i="6"/>
  <c r="E65" i="6"/>
  <c r="DY65" i="6" s="1"/>
  <c r="D65" i="6"/>
  <c r="C65" i="6"/>
  <c r="DY64" i="6"/>
  <c r="DO64" i="6"/>
  <c r="DO63" i="6" s="1"/>
  <c r="CM64" i="6"/>
  <c r="CM63" i="6" s="1"/>
  <c r="AP64" i="6"/>
  <c r="AO64" i="6"/>
  <c r="AN64" i="6"/>
  <c r="AM64" i="6"/>
  <c r="AM63" i="6" s="1"/>
  <c r="F64" i="6"/>
  <c r="DZ64" i="6" s="1"/>
  <c r="E64" i="6"/>
  <c r="D64" i="6"/>
  <c r="D63" i="6" s="1"/>
  <c r="C64" i="6"/>
  <c r="DV63" i="6"/>
  <c r="DU63" i="6"/>
  <c r="DT63" i="6"/>
  <c r="DS63" i="6"/>
  <c r="DR63" i="6"/>
  <c r="DQ63" i="6"/>
  <c r="DP63" i="6"/>
  <c r="DN63" i="6"/>
  <c r="DM63" i="6"/>
  <c r="DM52" i="6" s="1"/>
  <c r="DL63" i="6"/>
  <c r="DK63" i="6"/>
  <c r="DJ63" i="6"/>
  <c r="DI63" i="6"/>
  <c r="DH63" i="6"/>
  <c r="DG63" i="6"/>
  <c r="DF63" i="6"/>
  <c r="DE63" i="6"/>
  <c r="DD63" i="6"/>
  <c r="DC63" i="6"/>
  <c r="DB63" i="6"/>
  <c r="DA63" i="6"/>
  <c r="CZ63" i="6"/>
  <c r="CY63" i="6"/>
  <c r="CX63" i="6"/>
  <c r="CW63" i="6"/>
  <c r="CV63" i="6"/>
  <c r="CU63" i="6"/>
  <c r="CT63" i="6"/>
  <c r="CS63" i="6"/>
  <c r="CR63" i="6"/>
  <c r="CQ63" i="6"/>
  <c r="CP63" i="6"/>
  <c r="CO63" i="6"/>
  <c r="CN63" i="6"/>
  <c r="CL63" i="6"/>
  <c r="CL52" i="6" s="1"/>
  <c r="CL51" i="6" s="1"/>
  <c r="CK63" i="6"/>
  <c r="CJ63" i="6"/>
  <c r="CI63" i="6"/>
  <c r="CH63" i="6"/>
  <c r="CG63" i="6"/>
  <c r="CF63" i="6"/>
  <c r="CE63" i="6"/>
  <c r="CD63" i="6"/>
  <c r="CC63" i="6"/>
  <c r="CC52" i="6" s="1"/>
  <c r="CB63" i="6"/>
  <c r="CA63" i="6"/>
  <c r="BZ63" i="6"/>
  <c r="BZ52" i="6" s="1"/>
  <c r="BZ51" i="6" s="1"/>
  <c r="BY63" i="6"/>
  <c r="BX63" i="6"/>
  <c r="BW63" i="6"/>
  <c r="BV63" i="6"/>
  <c r="BU63" i="6"/>
  <c r="BT63" i="6"/>
  <c r="BS63" i="6"/>
  <c r="BR63" i="6"/>
  <c r="BQ63" i="6"/>
  <c r="BP63" i="6"/>
  <c r="BO63" i="6"/>
  <c r="BN63" i="6"/>
  <c r="BM63" i="6"/>
  <c r="BL63" i="6"/>
  <c r="BK63" i="6"/>
  <c r="BJ63" i="6"/>
  <c r="BI63" i="6"/>
  <c r="BH63" i="6"/>
  <c r="BG63" i="6"/>
  <c r="BF63" i="6"/>
  <c r="BE63" i="6"/>
  <c r="BE52" i="6" s="1"/>
  <c r="BD63" i="6"/>
  <c r="BC63" i="6"/>
  <c r="BB63" i="6"/>
  <c r="BA63" i="6"/>
  <c r="AZ63" i="6"/>
  <c r="AY63" i="6"/>
  <c r="AX63" i="6"/>
  <c r="AW63" i="6"/>
  <c r="AV63" i="6"/>
  <c r="AU63" i="6"/>
  <c r="AT63" i="6"/>
  <c r="AS63" i="6"/>
  <c r="AR63" i="6"/>
  <c r="AQ63" i="6"/>
  <c r="AP63" i="6"/>
  <c r="AO63" i="6"/>
  <c r="AL63" i="6"/>
  <c r="AK63" i="6"/>
  <c r="AJ63" i="6"/>
  <c r="AI63" i="6"/>
  <c r="AH63" i="6"/>
  <c r="AG63" i="6"/>
  <c r="AF63" i="6"/>
  <c r="AE63" i="6"/>
  <c r="AD63" i="6"/>
  <c r="AC63" i="6"/>
  <c r="AB63" i="6"/>
  <c r="AA63" i="6"/>
  <c r="Z63" i="6"/>
  <c r="Y63" i="6"/>
  <c r="X63" i="6"/>
  <c r="W63" i="6"/>
  <c r="V63" i="6"/>
  <c r="U63" i="6"/>
  <c r="T63" i="6"/>
  <c r="T52" i="6" s="1"/>
  <c r="S63" i="6"/>
  <c r="R63" i="6"/>
  <c r="Q63" i="6"/>
  <c r="P63" i="6"/>
  <c r="O63" i="6"/>
  <c r="N63" i="6"/>
  <c r="M63" i="6"/>
  <c r="L63" i="6"/>
  <c r="L52" i="6" s="1"/>
  <c r="K63" i="6"/>
  <c r="J63" i="6"/>
  <c r="I63" i="6"/>
  <c r="H63" i="6"/>
  <c r="G63" i="6"/>
  <c r="F63" i="6"/>
  <c r="DZ63" i="6" s="1"/>
  <c r="E63" i="6"/>
  <c r="DY63" i="6" s="1"/>
  <c r="DZ62" i="6"/>
  <c r="DX62" i="6"/>
  <c r="AP62" i="6"/>
  <c r="AO62" i="6"/>
  <c r="AN62" i="6"/>
  <c r="AM62" i="6"/>
  <c r="G62" i="6"/>
  <c r="F62" i="6"/>
  <c r="E62" i="6"/>
  <c r="DY62" i="6" s="1"/>
  <c r="D62" i="6"/>
  <c r="C62" i="6"/>
  <c r="AP61" i="6"/>
  <c r="AO61" i="6"/>
  <c r="AN61" i="6"/>
  <c r="AM61" i="6"/>
  <c r="G61" i="6"/>
  <c r="F61" i="6"/>
  <c r="E61" i="6"/>
  <c r="D61" i="6"/>
  <c r="DX61" i="6" s="1"/>
  <c r="C61" i="6"/>
  <c r="DW61" i="6" s="1"/>
  <c r="BN60" i="6"/>
  <c r="BL60" i="6"/>
  <c r="BK60" i="6"/>
  <c r="BF60" i="6"/>
  <c r="BE60" i="6"/>
  <c r="BE57" i="6" s="1"/>
  <c r="BD60" i="6"/>
  <c r="BC60" i="6"/>
  <c r="AP60" i="6"/>
  <c r="DZ60" i="6" s="1"/>
  <c r="U42" i="1" s="1"/>
  <c r="AO60" i="6"/>
  <c r="AN60" i="6"/>
  <c r="AM60" i="6"/>
  <c r="G60" i="6"/>
  <c r="G57" i="6" s="1"/>
  <c r="F60" i="6"/>
  <c r="E60" i="6"/>
  <c r="DY60" i="6" s="1"/>
  <c r="D60" i="6"/>
  <c r="C60" i="6"/>
  <c r="DZ59" i="6"/>
  <c r="BL59" i="6"/>
  <c r="BK59" i="6"/>
  <c r="AP59" i="6"/>
  <c r="AO59" i="6"/>
  <c r="DY59" i="6" s="1"/>
  <c r="AN59" i="6"/>
  <c r="AM59" i="6"/>
  <c r="G59" i="6"/>
  <c r="F59" i="6"/>
  <c r="E59" i="6"/>
  <c r="D59" i="6"/>
  <c r="DX59" i="6" s="1"/>
  <c r="C59" i="6"/>
  <c r="DW59" i="6" s="1"/>
  <c r="DY58" i="6"/>
  <c r="BL58" i="6"/>
  <c r="BL57" i="6" s="1"/>
  <c r="BL52" i="6" s="1"/>
  <c r="BL51" i="6" s="1"/>
  <c r="BK58" i="6"/>
  <c r="BK57" i="6" s="1"/>
  <c r="AP58" i="6"/>
  <c r="AO58" i="6"/>
  <c r="AN58" i="6"/>
  <c r="AM58" i="6"/>
  <c r="AM57" i="6" s="1"/>
  <c r="G58" i="6"/>
  <c r="F58" i="6"/>
  <c r="E58" i="6"/>
  <c r="D58" i="6"/>
  <c r="C58" i="6"/>
  <c r="DV57" i="6"/>
  <c r="DU57" i="6"/>
  <c r="DU52" i="6" s="1"/>
  <c r="DU51" i="6" s="1"/>
  <c r="DT57" i="6"/>
  <c r="DS57" i="6"/>
  <c r="DR57" i="6"/>
  <c r="DQ57" i="6"/>
  <c r="DP57" i="6"/>
  <c r="DO57" i="6"/>
  <c r="DN57" i="6"/>
  <c r="DN52" i="6" s="1"/>
  <c r="DN51" i="6" s="1"/>
  <c r="DM57" i="6"/>
  <c r="DL57" i="6"/>
  <c r="DK57" i="6"/>
  <c r="DJ57" i="6"/>
  <c r="DI57" i="6"/>
  <c r="DH57" i="6"/>
  <c r="DG57" i="6"/>
  <c r="DF57" i="6"/>
  <c r="DE57" i="6"/>
  <c r="DD57" i="6"/>
  <c r="DC57" i="6"/>
  <c r="DB57" i="6"/>
  <c r="DA57" i="6"/>
  <c r="CZ57" i="6"/>
  <c r="CY57" i="6"/>
  <c r="CY52" i="6" s="1"/>
  <c r="CY51" i="6" s="1"/>
  <c r="CX57" i="6"/>
  <c r="CW57" i="6"/>
  <c r="CV57" i="6"/>
  <c r="CV52" i="6" s="1"/>
  <c r="CV51" i="6" s="1"/>
  <c r="CU57" i="6"/>
  <c r="CT57" i="6"/>
  <c r="CS57" i="6"/>
  <c r="CR57" i="6"/>
  <c r="CQ57" i="6"/>
  <c r="CP57" i="6"/>
  <c r="CO57" i="6"/>
  <c r="CN57" i="6"/>
  <c r="CM57" i="6"/>
  <c r="CL57" i="6"/>
  <c r="CK57" i="6"/>
  <c r="CJ57" i="6"/>
  <c r="CJ52" i="6" s="1"/>
  <c r="CJ51" i="6" s="1"/>
  <c r="CI57" i="6"/>
  <c r="CH57" i="6"/>
  <c r="CG57" i="6"/>
  <c r="CF57" i="6"/>
  <c r="CE57" i="6"/>
  <c r="CD57" i="6"/>
  <c r="CD52" i="6" s="1"/>
  <c r="CD51" i="6" s="1"/>
  <c r="CC57" i="6"/>
  <c r="CB57" i="6"/>
  <c r="CA57" i="6"/>
  <c r="BZ57" i="6"/>
  <c r="BY57" i="6"/>
  <c r="BX57" i="6"/>
  <c r="BX52" i="6" s="1"/>
  <c r="BW57" i="6"/>
  <c r="BV57" i="6"/>
  <c r="BU57" i="6"/>
  <c r="BT57" i="6"/>
  <c r="BS57" i="6"/>
  <c r="BR57" i="6"/>
  <c r="BQ57" i="6"/>
  <c r="BP57" i="6"/>
  <c r="BO57" i="6"/>
  <c r="BN57" i="6"/>
  <c r="BN52" i="6" s="1"/>
  <c r="BN51" i="6" s="1"/>
  <c r="BM57" i="6"/>
  <c r="BJ57" i="6"/>
  <c r="BI57" i="6"/>
  <c r="BH57" i="6"/>
  <c r="BG57" i="6"/>
  <c r="BF57" i="6"/>
  <c r="BC57" i="6"/>
  <c r="BB57" i="6"/>
  <c r="BB52" i="6" s="1"/>
  <c r="BA57" i="6"/>
  <c r="AZ57" i="6"/>
  <c r="AZ52" i="6" s="1"/>
  <c r="AZ51" i="6" s="1"/>
  <c r="AY57" i="6"/>
  <c r="AX57" i="6"/>
  <c r="AW57" i="6"/>
  <c r="AV57" i="6"/>
  <c r="AV52" i="6" s="1"/>
  <c r="AV51" i="6" s="1"/>
  <c r="AU57" i="6"/>
  <c r="AT57" i="6"/>
  <c r="AS57" i="6"/>
  <c r="AR57" i="6"/>
  <c r="AQ57" i="6"/>
  <c r="AO57" i="6"/>
  <c r="AN57" i="6"/>
  <c r="AL57" i="6"/>
  <c r="AK57" i="6"/>
  <c r="AJ57" i="6"/>
  <c r="AI57" i="6"/>
  <c r="AI52" i="6" s="1"/>
  <c r="AI51" i="6" s="1"/>
  <c r="AH57" i="6"/>
  <c r="AG57" i="6"/>
  <c r="AF57" i="6"/>
  <c r="AE57" i="6"/>
  <c r="AD57" i="6"/>
  <c r="AC57" i="6"/>
  <c r="AB57" i="6"/>
  <c r="AB52" i="6" s="1"/>
  <c r="AB51" i="6" s="1"/>
  <c r="AA57" i="6"/>
  <c r="Z57" i="6"/>
  <c r="Y57" i="6"/>
  <c r="X57" i="6"/>
  <c r="W57" i="6"/>
  <c r="W52" i="6" s="1"/>
  <c r="W51" i="6" s="1"/>
  <c r="V57" i="6"/>
  <c r="U57" i="6"/>
  <c r="T57" i="6"/>
  <c r="S57" i="6"/>
  <c r="R57" i="6"/>
  <c r="Q57" i="6"/>
  <c r="Q52" i="6" s="1"/>
  <c r="Q51" i="6" s="1"/>
  <c r="P57" i="6"/>
  <c r="P52" i="6" s="1"/>
  <c r="P51" i="6" s="1"/>
  <c r="O57" i="6"/>
  <c r="N57" i="6"/>
  <c r="M57" i="6"/>
  <c r="L57" i="6"/>
  <c r="K57" i="6"/>
  <c r="J57" i="6"/>
  <c r="I57" i="6"/>
  <c r="H57" i="6"/>
  <c r="F57" i="6"/>
  <c r="E57" i="6"/>
  <c r="D57" i="6"/>
  <c r="DY56" i="6"/>
  <c r="AP56" i="6"/>
  <c r="AO56" i="6"/>
  <c r="AN56" i="6"/>
  <c r="AM56" i="6"/>
  <c r="H56" i="6"/>
  <c r="G56" i="6"/>
  <c r="F56" i="6"/>
  <c r="DZ56" i="6" s="1"/>
  <c r="E56" i="6"/>
  <c r="D56" i="6"/>
  <c r="DX56" i="6" s="1"/>
  <c r="C56" i="6"/>
  <c r="AP55" i="6"/>
  <c r="AO55" i="6"/>
  <c r="AO53" i="6" s="1"/>
  <c r="AO52" i="6" s="1"/>
  <c r="AO51" i="6" s="1"/>
  <c r="AN55" i="6"/>
  <c r="AM55" i="6"/>
  <c r="H55" i="6"/>
  <c r="G55" i="6"/>
  <c r="F55" i="6"/>
  <c r="DZ55" i="6" s="1"/>
  <c r="E55" i="6"/>
  <c r="D55" i="6"/>
  <c r="C55" i="6"/>
  <c r="AP54" i="6"/>
  <c r="AO54" i="6"/>
  <c r="DY54" i="6" s="1"/>
  <c r="AN54" i="6"/>
  <c r="AM54" i="6"/>
  <c r="AM53" i="6" s="1"/>
  <c r="AM52" i="6" s="1"/>
  <c r="AM51" i="6" s="1"/>
  <c r="H54" i="6"/>
  <c r="G54" i="6"/>
  <c r="G53" i="6" s="1"/>
  <c r="F54" i="6"/>
  <c r="E54" i="6"/>
  <c r="D54" i="6"/>
  <c r="C54" i="6"/>
  <c r="DV53" i="6"/>
  <c r="DU53" i="6"/>
  <c r="DT53" i="6"/>
  <c r="DS53" i="6"/>
  <c r="DR53" i="6"/>
  <c r="DR52" i="6" s="1"/>
  <c r="DR51" i="6" s="1"/>
  <c r="DQ53" i="6"/>
  <c r="DP53" i="6"/>
  <c r="DO53" i="6"/>
  <c r="DN53" i="6"/>
  <c r="DM53" i="6"/>
  <c r="DL53" i="6"/>
  <c r="DK53" i="6"/>
  <c r="DJ53" i="6"/>
  <c r="DI53" i="6"/>
  <c r="DH53" i="6"/>
  <c r="DG53" i="6"/>
  <c r="DF53" i="6"/>
  <c r="DF52" i="6" s="1"/>
  <c r="DF51" i="6" s="1"/>
  <c r="DE53" i="6"/>
  <c r="DD53" i="6"/>
  <c r="DC53" i="6"/>
  <c r="DC52" i="6" s="1"/>
  <c r="DB53" i="6"/>
  <c r="DA53" i="6"/>
  <c r="CZ53" i="6"/>
  <c r="CY53" i="6"/>
  <c r="CX53" i="6"/>
  <c r="CW53" i="6"/>
  <c r="CV53" i="6"/>
  <c r="CU53" i="6"/>
  <c r="CT53" i="6"/>
  <c r="CT52" i="6" s="1"/>
  <c r="CT51" i="6" s="1"/>
  <c r="CS53" i="6"/>
  <c r="CR53" i="6"/>
  <c r="CQ53" i="6"/>
  <c r="CP53" i="6"/>
  <c r="CO53" i="6"/>
  <c r="CN53" i="6"/>
  <c r="CM53" i="6"/>
  <c r="CL53" i="6"/>
  <c r="CK53" i="6"/>
  <c r="CJ53" i="6"/>
  <c r="CI53" i="6"/>
  <c r="CH53" i="6"/>
  <c r="CH52" i="6" s="1"/>
  <c r="CH51" i="6" s="1"/>
  <c r="CG53" i="6"/>
  <c r="CF53" i="6"/>
  <c r="CE53" i="6"/>
  <c r="CD53" i="6"/>
  <c r="CC53" i="6"/>
  <c r="CB53" i="6"/>
  <c r="CB52" i="6" s="1"/>
  <c r="CA53" i="6"/>
  <c r="BZ53" i="6"/>
  <c r="BY53" i="6"/>
  <c r="BX53" i="6"/>
  <c r="BW53" i="6"/>
  <c r="BW52" i="6" s="1"/>
  <c r="BW51" i="6" s="1"/>
  <c r="BV53" i="6"/>
  <c r="BV52" i="6" s="1"/>
  <c r="BV51" i="6" s="1"/>
  <c r="BU53" i="6"/>
  <c r="BT53" i="6"/>
  <c r="BS53" i="6"/>
  <c r="BR53" i="6"/>
  <c r="BQ53" i="6"/>
  <c r="BP53" i="6"/>
  <c r="BO53" i="6"/>
  <c r="BN53" i="6"/>
  <c r="BM53" i="6"/>
  <c r="BL53" i="6"/>
  <c r="BK53" i="6"/>
  <c r="BK52" i="6" s="1"/>
  <c r="BK51" i="6" s="1"/>
  <c r="BJ53" i="6"/>
  <c r="BJ52" i="6" s="1"/>
  <c r="BJ51" i="6" s="1"/>
  <c r="BI53" i="6"/>
  <c r="BH53" i="6"/>
  <c r="BG53" i="6"/>
  <c r="BG52" i="6" s="1"/>
  <c r="BF53" i="6"/>
  <c r="BE53" i="6"/>
  <c r="BD53" i="6"/>
  <c r="BC53" i="6"/>
  <c r="BC52" i="6" s="1"/>
  <c r="BC51" i="6" s="1"/>
  <c r="BB53" i="6"/>
  <c r="BA53" i="6"/>
  <c r="AZ53" i="6"/>
  <c r="AY53" i="6"/>
  <c r="AY52" i="6" s="1"/>
  <c r="AY51" i="6" s="1"/>
  <c r="AX53" i="6"/>
  <c r="AX52" i="6" s="1"/>
  <c r="AX51" i="6" s="1"/>
  <c r="AW53" i="6"/>
  <c r="AV53" i="6"/>
  <c r="AU53" i="6"/>
  <c r="AT53" i="6"/>
  <c r="AS53" i="6"/>
  <c r="AR53" i="6"/>
  <c r="AQ53" i="6"/>
  <c r="AQ52" i="6" s="1"/>
  <c r="AQ51" i="6" s="1"/>
  <c r="AP53" i="6"/>
  <c r="AL53" i="6"/>
  <c r="AK53" i="6"/>
  <c r="AK52" i="6" s="1"/>
  <c r="AK51" i="6" s="1"/>
  <c r="AJ53" i="6"/>
  <c r="AI53" i="6"/>
  <c r="AH53" i="6"/>
  <c r="AG53" i="6"/>
  <c r="AF53" i="6"/>
  <c r="AE53" i="6"/>
  <c r="AD53" i="6"/>
  <c r="AD52" i="6" s="1"/>
  <c r="AD51" i="6" s="1"/>
  <c r="AC53" i="6"/>
  <c r="AB53" i="6"/>
  <c r="AA53" i="6"/>
  <c r="AA52" i="6" s="1"/>
  <c r="AA51" i="6" s="1"/>
  <c r="Z53" i="6"/>
  <c r="Y53" i="6"/>
  <c r="Y52" i="6" s="1"/>
  <c r="Y51" i="6" s="1"/>
  <c r="X53" i="6"/>
  <c r="W53" i="6"/>
  <c r="V53" i="6"/>
  <c r="V52" i="6" s="1"/>
  <c r="V51" i="6" s="1"/>
  <c r="U53" i="6"/>
  <c r="T53" i="6"/>
  <c r="S53" i="6"/>
  <c r="S52" i="6" s="1"/>
  <c r="S51" i="6" s="1"/>
  <c r="R53" i="6"/>
  <c r="R52" i="6" s="1"/>
  <c r="Q53" i="6"/>
  <c r="P53" i="6"/>
  <c r="O53" i="6"/>
  <c r="N53" i="6"/>
  <c r="M53" i="6"/>
  <c r="M52" i="6" s="1"/>
  <c r="M51" i="6" s="1"/>
  <c r="L53" i="6"/>
  <c r="K53" i="6"/>
  <c r="J53" i="6"/>
  <c r="J52" i="6" s="1"/>
  <c r="J51" i="6" s="1"/>
  <c r="I53" i="6"/>
  <c r="I52" i="6" s="1"/>
  <c r="I51" i="6" s="1"/>
  <c r="E53" i="6"/>
  <c r="DV52" i="6"/>
  <c r="DV51" i="6" s="1"/>
  <c r="DT52" i="6"/>
  <c r="DT51" i="6" s="1"/>
  <c r="DS52" i="6"/>
  <c r="DP52" i="6"/>
  <c r="DI52" i="6"/>
  <c r="DI51" i="6" s="1"/>
  <c r="DH52" i="6"/>
  <c r="DH51" i="6" s="1"/>
  <c r="DG52" i="6"/>
  <c r="DD52" i="6"/>
  <c r="DA52" i="6"/>
  <c r="DA51" i="6" s="1"/>
  <c r="CZ52" i="6"/>
  <c r="CZ51" i="6" s="1"/>
  <c r="CU52" i="6"/>
  <c r="CU51" i="6" s="1"/>
  <c r="CR52" i="6"/>
  <c r="CQ52" i="6"/>
  <c r="CQ51" i="6" s="1"/>
  <c r="CP52" i="6"/>
  <c r="CP51" i="6" s="1"/>
  <c r="CO52" i="6"/>
  <c r="CO51" i="6" s="1"/>
  <c r="CI52" i="6"/>
  <c r="CI51" i="6" s="1"/>
  <c r="CF52" i="6"/>
  <c r="CF51" i="6" s="1"/>
  <c r="CE52" i="6"/>
  <c r="CE51" i="6" s="1"/>
  <c r="BT52" i="6"/>
  <c r="BT51" i="6" s="1"/>
  <c r="BS52" i="6"/>
  <c r="BS51" i="6" s="1"/>
  <c r="BR52" i="6"/>
  <c r="BR51" i="6" s="1"/>
  <c r="BQ52" i="6"/>
  <c r="BQ51" i="6" s="1"/>
  <c r="BP52" i="6"/>
  <c r="BP51" i="6" s="1"/>
  <c r="BO52" i="6"/>
  <c r="BO51" i="6" s="1"/>
  <c r="BH52" i="6"/>
  <c r="BH51" i="6" s="1"/>
  <c r="AU52" i="6"/>
  <c r="AU51" i="6" s="1"/>
  <c r="AT52" i="6"/>
  <c r="AT51" i="6" s="1"/>
  <c r="AS52" i="6"/>
  <c r="AS51" i="6" s="1"/>
  <c r="AH52" i="6"/>
  <c r="AH51" i="6" s="1"/>
  <c r="AG52" i="6"/>
  <c r="AG51" i="6" s="1"/>
  <c r="AF52" i="6"/>
  <c r="AE52" i="6"/>
  <c r="AE51" i="6" s="1"/>
  <c r="X52" i="6"/>
  <c r="X51" i="6" s="1"/>
  <c r="U52" i="6"/>
  <c r="U51" i="6" s="1"/>
  <c r="O52" i="6"/>
  <c r="K52" i="6"/>
  <c r="K51" i="6" s="1"/>
  <c r="G52" i="6"/>
  <c r="G51" i="6" s="1"/>
  <c r="DS51" i="6"/>
  <c r="DP51" i="6"/>
  <c r="DM51" i="6"/>
  <c r="DG51" i="6"/>
  <c r="DD51" i="6"/>
  <c r="DC51" i="6"/>
  <c r="CR51" i="6"/>
  <c r="CC51" i="6"/>
  <c r="CB51" i="6"/>
  <c r="BX51" i="6"/>
  <c r="BG51" i="6"/>
  <c r="BE51" i="6"/>
  <c r="BB51" i="6"/>
  <c r="AF51" i="6"/>
  <c r="T51" i="6"/>
  <c r="R51" i="6"/>
  <c r="O51" i="6"/>
  <c r="L51" i="6"/>
  <c r="DY50" i="6"/>
  <c r="BH50" i="6"/>
  <c r="BH47" i="6" s="1"/>
  <c r="BG50" i="6"/>
  <c r="H50" i="6"/>
  <c r="H47" i="6" s="1"/>
  <c r="G50" i="6"/>
  <c r="F50" i="6"/>
  <c r="DZ50" i="6" s="1"/>
  <c r="E50" i="6"/>
  <c r="D50" i="6"/>
  <c r="C50" i="6"/>
  <c r="BH49" i="6"/>
  <c r="BG49" i="6"/>
  <c r="H49" i="6"/>
  <c r="G49" i="6"/>
  <c r="F49" i="6"/>
  <c r="DZ49" i="6" s="1"/>
  <c r="E49" i="6"/>
  <c r="DY49" i="6" s="1"/>
  <c r="D49" i="6"/>
  <c r="DX49" i="6" s="1"/>
  <c r="C49" i="6"/>
  <c r="DW49" i="6" s="1"/>
  <c r="DZ48" i="6"/>
  <c r="BH48" i="6"/>
  <c r="BG48" i="6"/>
  <c r="H48" i="6"/>
  <c r="G48" i="6"/>
  <c r="F48" i="6"/>
  <c r="E48" i="6"/>
  <c r="DY48" i="6" s="1"/>
  <c r="D48" i="6"/>
  <c r="DX48" i="6" s="1"/>
  <c r="C48" i="6"/>
  <c r="DW48" i="6" s="1"/>
  <c r="DV47" i="6"/>
  <c r="DU47" i="6"/>
  <c r="DT47" i="6"/>
  <c r="DT41" i="6" s="1"/>
  <c r="DS47" i="6"/>
  <c r="DS41" i="6" s="1"/>
  <c r="DR47" i="6"/>
  <c r="DQ47" i="6"/>
  <c r="DP47" i="6"/>
  <c r="DO47" i="6"/>
  <c r="DN47" i="6"/>
  <c r="DM47" i="6"/>
  <c r="DM41" i="6" s="1"/>
  <c r="DL47" i="6"/>
  <c r="DK47" i="6"/>
  <c r="DJ47" i="6"/>
  <c r="DJ41" i="6" s="1"/>
  <c r="DJ22" i="6" s="1"/>
  <c r="DI47" i="6"/>
  <c r="DH47" i="6"/>
  <c r="DG47" i="6"/>
  <c r="DF47" i="6"/>
  <c r="DE47" i="6"/>
  <c r="DD47" i="6"/>
  <c r="DC47" i="6"/>
  <c r="DB47" i="6"/>
  <c r="DA47" i="6"/>
  <c r="DA41" i="6" s="1"/>
  <c r="CZ47" i="6"/>
  <c r="CY47" i="6"/>
  <c r="CX47" i="6"/>
  <c r="CW47" i="6"/>
  <c r="CV47" i="6"/>
  <c r="CU47" i="6"/>
  <c r="CT47" i="6"/>
  <c r="CS47" i="6"/>
  <c r="CR47" i="6"/>
  <c r="CQ47" i="6"/>
  <c r="CP47" i="6"/>
  <c r="CO47" i="6"/>
  <c r="CO41" i="6" s="1"/>
  <c r="CN47" i="6"/>
  <c r="CM47" i="6"/>
  <c r="CL47" i="6"/>
  <c r="CL41" i="6" s="1"/>
  <c r="CL22" i="6" s="1"/>
  <c r="CK47" i="6"/>
  <c r="CJ47" i="6"/>
  <c r="CI47" i="6"/>
  <c r="CH47" i="6"/>
  <c r="CG47" i="6"/>
  <c r="CF47" i="6"/>
  <c r="CE47" i="6"/>
  <c r="CD47" i="6"/>
  <c r="CC47" i="6"/>
  <c r="CC41" i="6" s="1"/>
  <c r="CB47" i="6"/>
  <c r="CA47" i="6"/>
  <c r="BZ47" i="6"/>
  <c r="BY47" i="6"/>
  <c r="BX47" i="6"/>
  <c r="BW47" i="6"/>
  <c r="BV47" i="6"/>
  <c r="BU47" i="6"/>
  <c r="BT47" i="6"/>
  <c r="BS47" i="6"/>
  <c r="BR47" i="6"/>
  <c r="BQ47" i="6"/>
  <c r="BQ41" i="6" s="1"/>
  <c r="BP47" i="6"/>
  <c r="BO47" i="6"/>
  <c r="BN47" i="6"/>
  <c r="BM47" i="6"/>
  <c r="BL47" i="6"/>
  <c r="BK47" i="6"/>
  <c r="BJ47" i="6"/>
  <c r="BI47" i="6"/>
  <c r="BF47" i="6"/>
  <c r="BE47" i="6"/>
  <c r="BD47" i="6"/>
  <c r="BC47" i="6"/>
  <c r="BB47" i="6"/>
  <c r="BA47" i="6"/>
  <c r="AZ47" i="6"/>
  <c r="AZ41" i="6" s="1"/>
  <c r="AY47" i="6"/>
  <c r="AY41" i="6" s="1"/>
  <c r="AX47" i="6"/>
  <c r="AW47" i="6"/>
  <c r="AV47" i="6"/>
  <c r="AU47" i="6"/>
  <c r="AT47" i="6"/>
  <c r="AS47" i="6"/>
  <c r="AS41" i="6" s="1"/>
  <c r="AR47" i="6"/>
  <c r="AR41" i="6" s="1"/>
  <c r="AQ47" i="6"/>
  <c r="AP47" i="6"/>
  <c r="AO47" i="6"/>
  <c r="AN47" i="6"/>
  <c r="AM47" i="6"/>
  <c r="AL47" i="6"/>
  <c r="AK47" i="6"/>
  <c r="AJ47" i="6"/>
  <c r="AI47" i="6"/>
  <c r="AH47" i="6"/>
  <c r="AG47" i="6"/>
  <c r="AF47" i="6"/>
  <c r="AF41" i="6" s="1"/>
  <c r="AE47" i="6"/>
  <c r="AD47" i="6"/>
  <c r="AC47" i="6"/>
  <c r="AB47" i="6"/>
  <c r="AA47" i="6"/>
  <c r="Z47" i="6"/>
  <c r="Y47" i="6"/>
  <c r="X47" i="6"/>
  <c r="W47" i="6"/>
  <c r="V47" i="6"/>
  <c r="U47" i="6"/>
  <c r="U41" i="6" s="1"/>
  <c r="T47" i="6"/>
  <c r="T41" i="6" s="1"/>
  <c r="S47" i="6"/>
  <c r="R47" i="6"/>
  <c r="Q47" i="6"/>
  <c r="P47" i="6"/>
  <c r="P41" i="6" s="1"/>
  <c r="O47" i="6"/>
  <c r="N47" i="6"/>
  <c r="M47" i="6"/>
  <c r="L47" i="6"/>
  <c r="K47" i="6"/>
  <c r="J47" i="6"/>
  <c r="I47" i="6"/>
  <c r="E47" i="6"/>
  <c r="DY47" i="6" s="1"/>
  <c r="D47" i="6"/>
  <c r="C47" i="6"/>
  <c r="H46" i="6"/>
  <c r="G46" i="6"/>
  <c r="F46" i="6"/>
  <c r="DZ46" i="6" s="1"/>
  <c r="E46" i="6"/>
  <c r="DY46" i="6" s="1"/>
  <c r="D46" i="6"/>
  <c r="C46" i="6"/>
  <c r="DW46" i="6" s="1"/>
  <c r="DZ45" i="6"/>
  <c r="DY45" i="6"/>
  <c r="DX45" i="6"/>
  <c r="H45" i="6"/>
  <c r="G45" i="6"/>
  <c r="F45" i="6"/>
  <c r="E45" i="6"/>
  <c r="D45" i="6"/>
  <c r="C45" i="6"/>
  <c r="DW45" i="6" s="1"/>
  <c r="DZ44" i="6"/>
  <c r="DW44" i="6"/>
  <c r="H44" i="6"/>
  <c r="DX44" i="6" s="1"/>
  <c r="G44" i="6"/>
  <c r="F44" i="6"/>
  <c r="E44" i="6"/>
  <c r="DY44" i="6" s="1"/>
  <c r="D44" i="6"/>
  <c r="C44" i="6"/>
  <c r="DY43" i="6"/>
  <c r="H43" i="6"/>
  <c r="G43" i="6"/>
  <c r="F43" i="6"/>
  <c r="E43" i="6"/>
  <c r="D43" i="6"/>
  <c r="C43" i="6"/>
  <c r="DV42" i="6"/>
  <c r="DU42" i="6"/>
  <c r="DT42" i="6"/>
  <c r="DS42" i="6"/>
  <c r="DR42" i="6"/>
  <c r="DQ42" i="6"/>
  <c r="DP42" i="6"/>
  <c r="DO42" i="6"/>
  <c r="DO41" i="6" s="1"/>
  <c r="DN42" i="6"/>
  <c r="DN41" i="6" s="1"/>
  <c r="DM42" i="6"/>
  <c r="DL42" i="6"/>
  <c r="DK42" i="6"/>
  <c r="DJ42" i="6"/>
  <c r="DI42" i="6"/>
  <c r="DI41" i="6" s="1"/>
  <c r="DH42" i="6"/>
  <c r="DG42" i="6"/>
  <c r="DF42" i="6"/>
  <c r="DF41" i="6" s="1"/>
  <c r="DE42" i="6"/>
  <c r="DD42" i="6"/>
  <c r="DC42" i="6"/>
  <c r="DC41" i="6" s="1"/>
  <c r="DB42" i="6"/>
  <c r="DA42" i="6"/>
  <c r="CZ42" i="6"/>
  <c r="CY42" i="6"/>
  <c r="CX42" i="6"/>
  <c r="CW42" i="6"/>
  <c r="CW41" i="6" s="1"/>
  <c r="CV42" i="6"/>
  <c r="CU42" i="6"/>
  <c r="CT42" i="6"/>
  <c r="CT41" i="6" s="1"/>
  <c r="CS42" i="6"/>
  <c r="CR42" i="6"/>
  <c r="CQ42" i="6"/>
  <c r="CQ41" i="6" s="1"/>
  <c r="CP42" i="6"/>
  <c r="CP41" i="6" s="1"/>
  <c r="CO42" i="6"/>
  <c r="CN42" i="6"/>
  <c r="CM42" i="6"/>
  <c r="CL42" i="6"/>
  <c r="CK42" i="6"/>
  <c r="CK41" i="6" s="1"/>
  <c r="CJ42" i="6"/>
  <c r="CI42" i="6"/>
  <c r="CH42" i="6"/>
  <c r="CH41" i="6" s="1"/>
  <c r="CG42" i="6"/>
  <c r="CF42" i="6"/>
  <c r="CE42" i="6"/>
  <c r="CD42" i="6"/>
  <c r="CC42" i="6"/>
  <c r="CB42" i="6"/>
  <c r="CB41" i="6" s="1"/>
  <c r="CA42" i="6"/>
  <c r="CA41" i="6" s="1"/>
  <c r="BZ42" i="6"/>
  <c r="BZ41" i="6" s="1"/>
  <c r="BY42" i="6"/>
  <c r="BY41" i="6" s="1"/>
  <c r="BX42" i="6"/>
  <c r="BW42" i="6"/>
  <c r="BV42" i="6"/>
  <c r="BU42" i="6"/>
  <c r="BT42" i="6"/>
  <c r="BS42" i="6"/>
  <c r="BS41" i="6" s="1"/>
  <c r="BR42" i="6"/>
  <c r="BR41" i="6" s="1"/>
  <c r="BQ42" i="6"/>
  <c r="BP42" i="6"/>
  <c r="BO42" i="6"/>
  <c r="BN42" i="6"/>
  <c r="BM42" i="6"/>
  <c r="BM41" i="6" s="1"/>
  <c r="BL42" i="6"/>
  <c r="BK42" i="6"/>
  <c r="BJ42" i="6"/>
  <c r="BJ41" i="6" s="1"/>
  <c r="BI42" i="6"/>
  <c r="BH42" i="6"/>
  <c r="BG42" i="6"/>
  <c r="BF42" i="6"/>
  <c r="BF41" i="6" s="1"/>
  <c r="BE42" i="6"/>
  <c r="BD42" i="6"/>
  <c r="BC42" i="6"/>
  <c r="BB42" i="6"/>
  <c r="BA42" i="6"/>
  <c r="BA41" i="6" s="1"/>
  <c r="AZ42" i="6"/>
  <c r="AY42" i="6"/>
  <c r="AX42" i="6"/>
  <c r="AX41" i="6" s="1"/>
  <c r="AW42" i="6"/>
  <c r="AW41" i="6" s="1"/>
  <c r="AV42" i="6"/>
  <c r="AU42" i="6"/>
  <c r="AU41" i="6" s="1"/>
  <c r="AT42" i="6"/>
  <c r="AT41" i="6" s="1"/>
  <c r="AT22" i="6" s="1"/>
  <c r="AS42" i="6"/>
  <c r="AR42" i="6"/>
  <c r="AQ42" i="6"/>
  <c r="AP42" i="6"/>
  <c r="AP41" i="6" s="1"/>
  <c r="AO42" i="6"/>
  <c r="AO41" i="6" s="1"/>
  <c r="AN42" i="6"/>
  <c r="AM42" i="6"/>
  <c r="AL42" i="6"/>
  <c r="AL41" i="6" s="1"/>
  <c r="AK42" i="6"/>
  <c r="AK41" i="6" s="1"/>
  <c r="AJ42" i="6"/>
  <c r="AI42" i="6"/>
  <c r="AI41" i="6" s="1"/>
  <c r="AH42" i="6"/>
  <c r="AG42" i="6"/>
  <c r="AF42" i="6"/>
  <c r="AE42" i="6"/>
  <c r="AD42" i="6"/>
  <c r="AC42" i="6"/>
  <c r="AC41" i="6" s="1"/>
  <c r="AB42" i="6"/>
  <c r="AA42" i="6"/>
  <c r="Z42" i="6"/>
  <c r="Z41" i="6" s="1"/>
  <c r="Y42" i="6"/>
  <c r="Y41" i="6" s="1"/>
  <c r="X42" i="6"/>
  <c r="W42" i="6"/>
  <c r="W41" i="6" s="1"/>
  <c r="V42" i="6"/>
  <c r="V41" i="6" s="1"/>
  <c r="U42" i="6"/>
  <c r="T42" i="6"/>
  <c r="S42" i="6"/>
  <c r="R42" i="6"/>
  <c r="Q42" i="6"/>
  <c r="Q41" i="6" s="1"/>
  <c r="Q22" i="6" s="1"/>
  <c r="P42" i="6"/>
  <c r="O42" i="6"/>
  <c r="N42" i="6"/>
  <c r="M42" i="6"/>
  <c r="M41" i="6" s="1"/>
  <c r="L42" i="6"/>
  <c r="K42" i="6"/>
  <c r="J42" i="6"/>
  <c r="I42" i="6"/>
  <c r="DV41" i="6"/>
  <c r="DV22" i="6" s="1"/>
  <c r="DU41" i="6"/>
  <c r="DR41" i="6"/>
  <c r="DL41" i="6"/>
  <c r="DK41" i="6"/>
  <c r="DH41" i="6"/>
  <c r="DG41" i="6"/>
  <c r="DB41" i="6"/>
  <c r="CZ41" i="6"/>
  <c r="CY41" i="6"/>
  <c r="CV41" i="6"/>
  <c r="CU41" i="6"/>
  <c r="CN41" i="6"/>
  <c r="CM41" i="6"/>
  <c r="CJ41" i="6"/>
  <c r="CI41" i="6"/>
  <c r="CE41" i="6"/>
  <c r="CD41" i="6"/>
  <c r="BX41" i="6"/>
  <c r="BW41" i="6"/>
  <c r="BV41" i="6"/>
  <c r="BP41" i="6"/>
  <c r="BO41" i="6"/>
  <c r="BL41" i="6"/>
  <c r="BK41" i="6"/>
  <c r="BE41" i="6"/>
  <c r="BD41" i="6"/>
  <c r="BC41" i="6"/>
  <c r="BB41" i="6"/>
  <c r="AQ41" i="6"/>
  <c r="AN41" i="6"/>
  <c r="AM41" i="6"/>
  <c r="AH41" i="6"/>
  <c r="AG41" i="6"/>
  <c r="AE41" i="6"/>
  <c r="AD41" i="6"/>
  <c r="AB41" i="6"/>
  <c r="AA41" i="6"/>
  <c r="S41" i="6"/>
  <c r="R41" i="6"/>
  <c r="O41" i="6"/>
  <c r="N41" i="6"/>
  <c r="K41" i="6"/>
  <c r="J41" i="6"/>
  <c r="I41" i="6"/>
  <c r="DZ40" i="6"/>
  <c r="DY40" i="6"/>
  <c r="DX40" i="6"/>
  <c r="DW40" i="6"/>
  <c r="DZ39" i="6"/>
  <c r="DV39" i="6"/>
  <c r="DU39" i="6"/>
  <c r="DU23" i="6" s="1"/>
  <c r="DT39" i="6"/>
  <c r="DS39" i="6"/>
  <c r="DR39" i="6"/>
  <c r="DQ39" i="6"/>
  <c r="DP39" i="6"/>
  <c r="DO39" i="6"/>
  <c r="DN39" i="6"/>
  <c r="DM39" i="6"/>
  <c r="DL39" i="6"/>
  <c r="DK39" i="6"/>
  <c r="DJ39" i="6"/>
  <c r="DI39" i="6"/>
  <c r="DI23" i="6" s="1"/>
  <c r="DH39" i="6"/>
  <c r="DG39" i="6"/>
  <c r="DF39" i="6"/>
  <c r="DE39" i="6"/>
  <c r="DD39" i="6"/>
  <c r="DC39" i="6"/>
  <c r="DB39" i="6"/>
  <c r="DA39" i="6"/>
  <c r="DA23" i="6" s="1"/>
  <c r="CZ39" i="6"/>
  <c r="CY39" i="6"/>
  <c r="CX39" i="6"/>
  <c r="CW39" i="6"/>
  <c r="CW23" i="6" s="1"/>
  <c r="CV39" i="6"/>
  <c r="CU39" i="6"/>
  <c r="CT39" i="6"/>
  <c r="CS39" i="6"/>
  <c r="CR39" i="6"/>
  <c r="CQ39" i="6"/>
  <c r="CP39" i="6"/>
  <c r="CO39" i="6"/>
  <c r="CN39" i="6"/>
  <c r="CM39" i="6"/>
  <c r="CL39" i="6"/>
  <c r="CK39" i="6"/>
  <c r="CK23" i="6" s="1"/>
  <c r="CJ39" i="6"/>
  <c r="CI39" i="6"/>
  <c r="CH39" i="6"/>
  <c r="CG39" i="6"/>
  <c r="CF39" i="6"/>
  <c r="CE39" i="6"/>
  <c r="CD39" i="6"/>
  <c r="CC39" i="6"/>
  <c r="CB39" i="6"/>
  <c r="CA39" i="6"/>
  <c r="BZ39" i="6"/>
  <c r="BY39" i="6"/>
  <c r="BX39" i="6"/>
  <c r="BW39" i="6"/>
  <c r="BW23" i="6" s="1"/>
  <c r="BV39" i="6"/>
  <c r="BU39" i="6"/>
  <c r="BU23" i="6" s="1"/>
  <c r="BT39" i="6"/>
  <c r="BS39" i="6"/>
  <c r="BR39" i="6"/>
  <c r="BQ39" i="6"/>
  <c r="BQ23" i="6" s="1"/>
  <c r="BP39" i="6"/>
  <c r="BO39" i="6"/>
  <c r="BN39" i="6"/>
  <c r="BM39" i="6"/>
  <c r="BM23" i="6" s="1"/>
  <c r="BL39" i="6"/>
  <c r="BK39" i="6"/>
  <c r="BK23" i="6" s="1"/>
  <c r="BK22" i="6" s="1"/>
  <c r="BJ39" i="6"/>
  <c r="BI39" i="6"/>
  <c r="BH39" i="6"/>
  <c r="BG39" i="6"/>
  <c r="BF39" i="6"/>
  <c r="BE39" i="6"/>
  <c r="BE23" i="6" s="1"/>
  <c r="BD39" i="6"/>
  <c r="BC39" i="6"/>
  <c r="BB39" i="6"/>
  <c r="BA39" i="6"/>
  <c r="BA23" i="6" s="1"/>
  <c r="AZ39" i="6"/>
  <c r="AY39" i="6"/>
  <c r="AX39" i="6"/>
  <c r="AW39" i="6"/>
  <c r="AV39" i="6"/>
  <c r="AU39" i="6"/>
  <c r="AT39" i="6"/>
  <c r="AS39" i="6"/>
  <c r="AR39" i="6"/>
  <c r="AQ39" i="6"/>
  <c r="AP39" i="6"/>
  <c r="AO39" i="6"/>
  <c r="AO23" i="6" s="1"/>
  <c r="AN39" i="6"/>
  <c r="AM39" i="6"/>
  <c r="AL39" i="6"/>
  <c r="AK39" i="6"/>
  <c r="AJ39" i="6"/>
  <c r="AI39" i="6"/>
  <c r="AH39" i="6"/>
  <c r="AG39" i="6"/>
  <c r="AG23" i="6" s="1"/>
  <c r="AG22" i="6" s="1"/>
  <c r="AF39" i="6"/>
  <c r="AE39" i="6"/>
  <c r="AD39" i="6"/>
  <c r="AC39" i="6"/>
  <c r="AC23" i="6" s="1"/>
  <c r="AB39" i="6"/>
  <c r="AA39" i="6"/>
  <c r="Z39" i="6"/>
  <c r="Y39" i="6"/>
  <c r="X39" i="6"/>
  <c r="W39" i="6"/>
  <c r="V39" i="6"/>
  <c r="U39" i="6"/>
  <c r="T39" i="6"/>
  <c r="S39" i="6"/>
  <c r="R39" i="6"/>
  <c r="Q39" i="6"/>
  <c r="Q23" i="6" s="1"/>
  <c r="P39" i="6"/>
  <c r="O39" i="6"/>
  <c r="N39" i="6"/>
  <c r="M39" i="6"/>
  <c r="L39" i="6"/>
  <c r="K39" i="6"/>
  <c r="J39" i="6"/>
  <c r="I39" i="6"/>
  <c r="H39" i="6"/>
  <c r="G39" i="6"/>
  <c r="F39" i="6"/>
  <c r="E39" i="6"/>
  <c r="DY39" i="6" s="1"/>
  <c r="D39" i="6"/>
  <c r="DX39" i="6" s="1"/>
  <c r="C39" i="6"/>
  <c r="DW39" i="6" s="1"/>
  <c r="BH38" i="6"/>
  <c r="BG38" i="6"/>
  <c r="DW38" i="6" s="1"/>
  <c r="AY38" i="6"/>
  <c r="AF38" i="6"/>
  <c r="AE38" i="6"/>
  <c r="F38" i="6"/>
  <c r="DZ38" i="6" s="1"/>
  <c r="E38" i="6"/>
  <c r="DY38" i="6" s="1"/>
  <c r="D38" i="6"/>
  <c r="DX38" i="6" s="1"/>
  <c r="C38" i="6"/>
  <c r="DX37" i="6"/>
  <c r="BH37" i="6"/>
  <c r="BG37" i="6"/>
  <c r="AY37" i="6"/>
  <c r="DW37" i="6" s="1"/>
  <c r="AF37" i="6"/>
  <c r="AE37" i="6"/>
  <c r="F37" i="6"/>
  <c r="DZ37" i="6" s="1"/>
  <c r="E37" i="6"/>
  <c r="DY37" i="6" s="1"/>
  <c r="D37" i="6"/>
  <c r="C37" i="6"/>
  <c r="DY36" i="6"/>
  <c r="BH36" i="6"/>
  <c r="DX36" i="6" s="1"/>
  <c r="BG36" i="6"/>
  <c r="AY36" i="6"/>
  <c r="AF36" i="6"/>
  <c r="AE36" i="6"/>
  <c r="F36" i="6"/>
  <c r="DZ36" i="6" s="1"/>
  <c r="E36" i="6"/>
  <c r="D36" i="6"/>
  <c r="C36" i="6"/>
  <c r="DW36" i="6" s="1"/>
  <c r="DZ35" i="6"/>
  <c r="DY35" i="6"/>
  <c r="BH35" i="6"/>
  <c r="BG35" i="6"/>
  <c r="AY35" i="6"/>
  <c r="AF35" i="6"/>
  <c r="AE35" i="6"/>
  <c r="DW35" i="6" s="1"/>
  <c r="F35" i="6"/>
  <c r="E35" i="6"/>
  <c r="D35" i="6"/>
  <c r="DX35" i="6" s="1"/>
  <c r="C35" i="6"/>
  <c r="DZ34" i="6"/>
  <c r="DW34" i="6"/>
  <c r="BH34" i="6"/>
  <c r="BG34" i="6"/>
  <c r="AY34" i="6"/>
  <c r="AF34" i="6"/>
  <c r="DX34" i="6" s="1"/>
  <c r="AE34" i="6"/>
  <c r="F34" i="6"/>
  <c r="E34" i="6"/>
  <c r="DY34" i="6" s="1"/>
  <c r="D34" i="6"/>
  <c r="C34" i="6"/>
  <c r="DZ33" i="6"/>
  <c r="DY33" i="6"/>
  <c r="DX33" i="6"/>
  <c r="DW33" i="6"/>
  <c r="BH32" i="6"/>
  <c r="BG32" i="6"/>
  <c r="AY32" i="6"/>
  <c r="AF32" i="6"/>
  <c r="DX32" i="6" s="1"/>
  <c r="AE32" i="6"/>
  <c r="F32" i="6"/>
  <c r="DZ32" i="6" s="1"/>
  <c r="E32" i="6"/>
  <c r="DY32" i="6" s="1"/>
  <c r="D32" i="6"/>
  <c r="C32" i="6"/>
  <c r="BH31" i="6"/>
  <c r="BG31" i="6"/>
  <c r="AY31" i="6"/>
  <c r="AF31" i="6"/>
  <c r="AE31" i="6"/>
  <c r="AE24" i="6" s="1"/>
  <c r="AE23" i="6" s="1"/>
  <c r="AE22" i="6" s="1"/>
  <c r="F31" i="6"/>
  <c r="E31" i="6"/>
  <c r="DY31" i="6" s="1"/>
  <c r="D31" i="6"/>
  <c r="DX31" i="6" s="1"/>
  <c r="C31" i="6"/>
  <c r="BH30" i="6"/>
  <c r="BG30" i="6"/>
  <c r="AY30" i="6"/>
  <c r="AF30" i="6"/>
  <c r="AE30" i="6"/>
  <c r="F30" i="6"/>
  <c r="DZ30" i="6" s="1"/>
  <c r="E30" i="6"/>
  <c r="DY30" i="6" s="1"/>
  <c r="D30" i="6"/>
  <c r="DX30" i="6" s="1"/>
  <c r="C30" i="6"/>
  <c r="DW30" i="6" s="1"/>
  <c r="DX29" i="6"/>
  <c r="BH29" i="6"/>
  <c r="BG29" i="6"/>
  <c r="AY29" i="6"/>
  <c r="DW29" i="6" s="1"/>
  <c r="AF29" i="6"/>
  <c r="AE29" i="6"/>
  <c r="F29" i="6"/>
  <c r="DZ29" i="6" s="1"/>
  <c r="E29" i="6"/>
  <c r="DY29" i="6" s="1"/>
  <c r="D29" i="6"/>
  <c r="C29" i="6"/>
  <c r="DY28" i="6"/>
  <c r="DX28" i="6"/>
  <c r="BH28" i="6"/>
  <c r="BG28" i="6"/>
  <c r="AY28" i="6"/>
  <c r="DW28" i="6" s="1"/>
  <c r="AF28" i="6"/>
  <c r="AE28" i="6"/>
  <c r="F28" i="6"/>
  <c r="DZ28" i="6" s="1"/>
  <c r="E28" i="6"/>
  <c r="D28" i="6"/>
  <c r="C28" i="6"/>
  <c r="DZ27" i="6"/>
  <c r="DY27" i="6"/>
  <c r="DX27" i="6"/>
  <c r="BH27" i="6"/>
  <c r="BG27" i="6"/>
  <c r="AY27" i="6"/>
  <c r="AF27" i="6"/>
  <c r="AE27" i="6"/>
  <c r="F27" i="6"/>
  <c r="E27" i="6"/>
  <c r="D27" i="6"/>
  <c r="C27" i="6"/>
  <c r="DZ26" i="6"/>
  <c r="DY26" i="6"/>
  <c r="BH26" i="6"/>
  <c r="BG26" i="6"/>
  <c r="BG24" i="6" s="1"/>
  <c r="BG23" i="6" s="1"/>
  <c r="AY26" i="6"/>
  <c r="AF26" i="6"/>
  <c r="AE26" i="6"/>
  <c r="F26" i="6"/>
  <c r="E26" i="6"/>
  <c r="D26" i="6"/>
  <c r="C26" i="6"/>
  <c r="DZ25" i="6"/>
  <c r="BH25" i="6"/>
  <c r="BG25" i="6"/>
  <c r="AY25" i="6"/>
  <c r="DW25" i="6" s="1"/>
  <c r="AF25" i="6"/>
  <c r="AF24" i="6" s="1"/>
  <c r="AF23" i="6" s="1"/>
  <c r="AE25" i="6"/>
  <c r="F25" i="6"/>
  <c r="E25" i="6"/>
  <c r="D25" i="6"/>
  <c r="C25" i="6"/>
  <c r="DV24" i="6"/>
  <c r="DU24" i="6"/>
  <c r="DT24" i="6"/>
  <c r="DT23" i="6" s="1"/>
  <c r="DT22" i="6" s="1"/>
  <c r="DS24" i="6"/>
  <c r="DS23" i="6" s="1"/>
  <c r="DS22" i="6" s="1"/>
  <c r="DR24" i="6"/>
  <c r="DR23" i="6" s="1"/>
  <c r="DQ24" i="6"/>
  <c r="DP24" i="6"/>
  <c r="DO24" i="6"/>
  <c r="DN24" i="6"/>
  <c r="DM24" i="6"/>
  <c r="DL24" i="6"/>
  <c r="DK24" i="6"/>
  <c r="DK23" i="6" s="1"/>
  <c r="DK22" i="6" s="1"/>
  <c r="DJ24" i="6"/>
  <c r="DI24" i="6"/>
  <c r="DH24" i="6"/>
  <c r="DH23" i="6" s="1"/>
  <c r="DH22" i="6" s="1"/>
  <c r="DG24" i="6"/>
  <c r="DF24" i="6"/>
  <c r="DF23" i="6" s="1"/>
  <c r="DF22" i="6" s="1"/>
  <c r="DE24" i="6"/>
  <c r="DD24" i="6"/>
  <c r="DC24" i="6"/>
  <c r="DB24" i="6"/>
  <c r="DB23" i="6" s="1"/>
  <c r="DB22" i="6" s="1"/>
  <c r="DA24" i="6"/>
  <c r="CZ24" i="6"/>
  <c r="CZ23" i="6" s="1"/>
  <c r="CZ22" i="6" s="1"/>
  <c r="CY24" i="6"/>
  <c r="CY23" i="6" s="1"/>
  <c r="CY22" i="6" s="1"/>
  <c r="CX24" i="6"/>
  <c r="CW24" i="6"/>
  <c r="CV24" i="6"/>
  <c r="CV23" i="6" s="1"/>
  <c r="CV22" i="6" s="1"/>
  <c r="CU24" i="6"/>
  <c r="CT24" i="6"/>
  <c r="CT23" i="6" s="1"/>
  <c r="CS24" i="6"/>
  <c r="CR24" i="6"/>
  <c r="CQ24" i="6"/>
  <c r="CP24" i="6"/>
  <c r="CO24" i="6"/>
  <c r="CN24" i="6"/>
  <c r="CM24" i="6"/>
  <c r="CM23" i="6" s="1"/>
  <c r="CM22" i="6" s="1"/>
  <c r="CL24" i="6"/>
  <c r="CK24" i="6"/>
  <c r="CJ24" i="6"/>
  <c r="CJ23" i="6" s="1"/>
  <c r="CJ22" i="6" s="1"/>
  <c r="CI24" i="6"/>
  <c r="CH24" i="6"/>
  <c r="CH23" i="6" s="1"/>
  <c r="CH22" i="6" s="1"/>
  <c r="CG24" i="6"/>
  <c r="CF24" i="6"/>
  <c r="CE24" i="6"/>
  <c r="CD24" i="6"/>
  <c r="CC24" i="6"/>
  <c r="CB24" i="6"/>
  <c r="CA24" i="6"/>
  <c r="CA23" i="6" s="1"/>
  <c r="CA22" i="6" s="1"/>
  <c r="BZ24" i="6"/>
  <c r="BY24" i="6"/>
  <c r="BX24" i="6"/>
  <c r="BX23" i="6" s="1"/>
  <c r="BW24" i="6"/>
  <c r="BV24" i="6"/>
  <c r="BV23" i="6" s="1"/>
  <c r="BU24" i="6"/>
  <c r="BT24" i="6"/>
  <c r="BT23" i="6" s="1"/>
  <c r="BS24" i="6"/>
  <c r="BR24" i="6"/>
  <c r="BR23" i="6" s="1"/>
  <c r="BQ24" i="6"/>
  <c r="BP24" i="6"/>
  <c r="BP23" i="6" s="1"/>
  <c r="BP22" i="6" s="1"/>
  <c r="BO24" i="6"/>
  <c r="BO23" i="6" s="1"/>
  <c r="BO22" i="6" s="1"/>
  <c r="BN24" i="6"/>
  <c r="BM24" i="6"/>
  <c r="BL24" i="6"/>
  <c r="BK24" i="6"/>
  <c r="BJ24" i="6"/>
  <c r="BJ23" i="6" s="1"/>
  <c r="BI24" i="6"/>
  <c r="BF24" i="6"/>
  <c r="BF23" i="6" s="1"/>
  <c r="BF22" i="6" s="1"/>
  <c r="BE24" i="6"/>
  <c r="BD24" i="6"/>
  <c r="BD23" i="6" s="1"/>
  <c r="BC24" i="6"/>
  <c r="BC23" i="6" s="1"/>
  <c r="BB24" i="6"/>
  <c r="BB23" i="6" s="1"/>
  <c r="BB22" i="6" s="1"/>
  <c r="BA24" i="6"/>
  <c r="AZ24" i="6"/>
  <c r="AX24" i="6"/>
  <c r="AX23" i="6" s="1"/>
  <c r="AX22" i="6" s="1"/>
  <c r="AW24" i="6"/>
  <c r="AV24" i="6"/>
  <c r="AU24" i="6"/>
  <c r="AT24" i="6"/>
  <c r="AT23" i="6" s="1"/>
  <c r="AS24" i="6"/>
  <c r="AR24" i="6"/>
  <c r="AQ24" i="6"/>
  <c r="AQ23" i="6" s="1"/>
  <c r="AQ22" i="6" s="1"/>
  <c r="AP24" i="6"/>
  <c r="AP23" i="6" s="1"/>
  <c r="AO24" i="6"/>
  <c r="AN24" i="6"/>
  <c r="AM24" i="6"/>
  <c r="AL24" i="6"/>
  <c r="AL23" i="6" s="1"/>
  <c r="AK24" i="6"/>
  <c r="AJ24" i="6"/>
  <c r="AI24" i="6"/>
  <c r="AH24" i="6"/>
  <c r="AG24" i="6"/>
  <c r="AD24" i="6"/>
  <c r="AD23" i="6" s="1"/>
  <c r="AD22" i="6" s="1"/>
  <c r="AC24" i="6"/>
  <c r="AB24" i="6"/>
  <c r="AB23" i="6" s="1"/>
  <c r="AB22" i="6" s="1"/>
  <c r="AA24" i="6"/>
  <c r="AA23" i="6" s="1"/>
  <c r="AA22" i="6" s="1"/>
  <c r="Z24" i="6"/>
  <c r="Z23" i="6" s="1"/>
  <c r="Z22" i="6" s="1"/>
  <c r="Y24" i="6"/>
  <c r="X24" i="6"/>
  <c r="W24" i="6"/>
  <c r="V24" i="6"/>
  <c r="U24" i="6"/>
  <c r="T24" i="6"/>
  <c r="T23" i="6" s="1"/>
  <c r="S24" i="6"/>
  <c r="S23" i="6" s="1"/>
  <c r="S22" i="6" s="1"/>
  <c r="R24" i="6"/>
  <c r="R23" i="6" s="1"/>
  <c r="R22" i="6" s="1"/>
  <c r="Q24" i="6"/>
  <c r="P24" i="6"/>
  <c r="P23" i="6" s="1"/>
  <c r="P22" i="6" s="1"/>
  <c r="O24" i="6"/>
  <c r="O23" i="6" s="1"/>
  <c r="O22" i="6" s="1"/>
  <c r="N24" i="6"/>
  <c r="N23" i="6" s="1"/>
  <c r="N22" i="6" s="1"/>
  <c r="M24" i="6"/>
  <c r="M23" i="6" s="1"/>
  <c r="M22" i="6" s="1"/>
  <c r="L24" i="6"/>
  <c r="L23" i="6" s="1"/>
  <c r="K24" i="6"/>
  <c r="J24" i="6"/>
  <c r="I24" i="6"/>
  <c r="H24" i="6"/>
  <c r="G24" i="6"/>
  <c r="G23" i="6" s="1"/>
  <c r="DV23" i="6"/>
  <c r="DQ23" i="6"/>
  <c r="DP23" i="6"/>
  <c r="DO23" i="6"/>
  <c r="DN23" i="6"/>
  <c r="DM23" i="6"/>
  <c r="DL23" i="6"/>
  <c r="DL22" i="6" s="1"/>
  <c r="DJ23" i="6"/>
  <c r="DG23" i="6"/>
  <c r="DG22" i="6" s="1"/>
  <c r="DE23" i="6"/>
  <c r="DD23" i="6"/>
  <c r="DC23" i="6"/>
  <c r="CX23" i="6"/>
  <c r="CR23" i="6"/>
  <c r="CQ23" i="6"/>
  <c r="CQ22" i="6" s="1"/>
  <c r="CP23" i="6"/>
  <c r="CO23" i="6"/>
  <c r="CO22" i="6" s="1"/>
  <c r="CN23" i="6"/>
  <c r="CN22" i="6" s="1"/>
  <c r="CL23" i="6"/>
  <c r="CF23" i="6"/>
  <c r="CE23" i="6"/>
  <c r="CD23" i="6"/>
  <c r="CD22" i="6" s="1"/>
  <c r="CC23" i="6"/>
  <c r="CC22" i="6" s="1"/>
  <c r="CB23" i="6"/>
  <c r="CB22" i="6" s="1"/>
  <c r="BZ23" i="6"/>
  <c r="BY23" i="6"/>
  <c r="BS23" i="6"/>
  <c r="BN23" i="6"/>
  <c r="BL23" i="6"/>
  <c r="BL22" i="6" s="1"/>
  <c r="BI23" i="6"/>
  <c r="AW23" i="6"/>
  <c r="AW22" i="6" s="1"/>
  <c r="AV23" i="6"/>
  <c r="AU23" i="6"/>
  <c r="AS23" i="6"/>
  <c r="AR23" i="6"/>
  <c r="AN23" i="6"/>
  <c r="AN22" i="6" s="1"/>
  <c r="AM23" i="6"/>
  <c r="AM22" i="6" s="1"/>
  <c r="AK23" i="6"/>
  <c r="AJ23" i="6"/>
  <c r="AI23" i="6"/>
  <c r="AH23" i="6"/>
  <c r="Y23" i="6"/>
  <c r="Y22" i="6" s="1"/>
  <c r="X23" i="6"/>
  <c r="W23" i="6"/>
  <c r="W22" i="6" s="1"/>
  <c r="V23" i="6"/>
  <c r="V22" i="6" s="1"/>
  <c r="U23" i="6"/>
  <c r="K23" i="6"/>
  <c r="J23" i="6"/>
  <c r="I23" i="6"/>
  <c r="H23" i="6"/>
  <c r="DR22" i="6"/>
  <c r="DN22" i="6"/>
  <c r="DM22" i="6"/>
  <c r="CT22" i="6"/>
  <c r="CP22" i="6"/>
  <c r="BZ22" i="6"/>
  <c r="BY22" i="6"/>
  <c r="BX22" i="6"/>
  <c r="BW22" i="6"/>
  <c r="BV22" i="6"/>
  <c r="BJ22" i="6"/>
  <c r="BA22" i="6"/>
  <c r="AL22" i="6"/>
  <c r="AK22" i="6"/>
  <c r="U22" i="6"/>
  <c r="T22" i="6"/>
  <c r="DW21" i="6"/>
  <c r="F21" i="6"/>
  <c r="DZ21" i="6" s="1"/>
  <c r="E21" i="6"/>
  <c r="DY21" i="6" s="1"/>
  <c r="D21" i="6"/>
  <c r="DX21" i="6" s="1"/>
  <c r="C21" i="6"/>
  <c r="DY20" i="6"/>
  <c r="DX20" i="6"/>
  <c r="DW20" i="6"/>
  <c r="F20" i="6"/>
  <c r="DZ20" i="6" s="1"/>
  <c r="E20" i="6"/>
  <c r="D20" i="6"/>
  <c r="C20" i="6"/>
  <c r="DZ19" i="6"/>
  <c r="DY19" i="6"/>
  <c r="F19" i="6"/>
  <c r="E19" i="6"/>
  <c r="D19" i="6"/>
  <c r="DX19" i="6" s="1"/>
  <c r="C19" i="6"/>
  <c r="DW19" i="6" s="1"/>
  <c r="DZ18" i="6"/>
  <c r="F18" i="6"/>
  <c r="E18" i="6"/>
  <c r="D18" i="6"/>
  <c r="C18" i="6"/>
  <c r="DV17" i="6"/>
  <c r="DU17" i="6"/>
  <c r="DT17" i="6"/>
  <c r="DS17" i="6"/>
  <c r="DR17" i="6"/>
  <c r="DQ17" i="6"/>
  <c r="DP17" i="6"/>
  <c r="DO17" i="6"/>
  <c r="DN17" i="6"/>
  <c r="DM17" i="6"/>
  <c r="DL17" i="6"/>
  <c r="DK17" i="6"/>
  <c r="DK13" i="6" s="1"/>
  <c r="DK3" i="6" s="1"/>
  <c r="DJ17" i="6"/>
  <c r="DJ13" i="6" s="1"/>
  <c r="DJ3" i="6" s="1"/>
  <c r="DI17" i="6"/>
  <c r="DH17" i="6"/>
  <c r="DG17" i="6"/>
  <c r="DF17" i="6"/>
  <c r="DE17" i="6"/>
  <c r="DD17" i="6"/>
  <c r="DC17" i="6"/>
  <c r="DB17" i="6"/>
  <c r="DA17" i="6"/>
  <c r="CZ17" i="6"/>
  <c r="CY17" i="6"/>
  <c r="CX17" i="6"/>
  <c r="CW17" i="6"/>
  <c r="CV17" i="6"/>
  <c r="CU17" i="6"/>
  <c r="CT17" i="6"/>
  <c r="CS17" i="6"/>
  <c r="CR17" i="6"/>
  <c r="CQ17" i="6"/>
  <c r="CP17" i="6"/>
  <c r="CP13" i="6" s="1"/>
  <c r="CO17" i="6"/>
  <c r="CN17" i="6"/>
  <c r="CM17" i="6"/>
  <c r="CL17" i="6"/>
  <c r="CK17" i="6"/>
  <c r="CJ17" i="6"/>
  <c r="CI17" i="6"/>
  <c r="CH17" i="6"/>
  <c r="CH13" i="6" s="1"/>
  <c r="CG17" i="6"/>
  <c r="CG13" i="6" s="1"/>
  <c r="CF17" i="6"/>
  <c r="CF13" i="6" s="1"/>
  <c r="CE17" i="6"/>
  <c r="CD17" i="6"/>
  <c r="CD13" i="6" s="1"/>
  <c r="CC17" i="6"/>
  <c r="CB17" i="6"/>
  <c r="CA17" i="6"/>
  <c r="BZ17" i="6"/>
  <c r="BZ13" i="6" s="1"/>
  <c r="BZ3" i="6" s="1"/>
  <c r="BZ103" i="6" s="1"/>
  <c r="BY17" i="6"/>
  <c r="BX17" i="6"/>
  <c r="BW17" i="6"/>
  <c r="BV17" i="6"/>
  <c r="BU17" i="6"/>
  <c r="BT17" i="6"/>
  <c r="BS17" i="6"/>
  <c r="BR17" i="6"/>
  <c r="BQ17" i="6"/>
  <c r="BP17" i="6"/>
  <c r="BO17" i="6"/>
  <c r="BN17" i="6"/>
  <c r="BM17" i="6"/>
  <c r="BL17" i="6"/>
  <c r="BK17" i="6"/>
  <c r="BJ17" i="6"/>
  <c r="BI17" i="6"/>
  <c r="BH17" i="6"/>
  <c r="BH13" i="6" s="1"/>
  <c r="BG17" i="6"/>
  <c r="BF17" i="6"/>
  <c r="BE17" i="6"/>
  <c r="BD17" i="6"/>
  <c r="BC17" i="6"/>
  <c r="BB17" i="6"/>
  <c r="BA17" i="6"/>
  <c r="AZ17" i="6"/>
  <c r="AY17" i="6"/>
  <c r="AX17" i="6"/>
  <c r="AW17" i="6"/>
  <c r="AW13" i="6" s="1"/>
  <c r="AV17" i="6"/>
  <c r="AV13" i="6" s="1"/>
  <c r="AU17" i="6"/>
  <c r="AT17" i="6"/>
  <c r="AS17" i="6"/>
  <c r="AR17" i="6"/>
  <c r="AQ17" i="6"/>
  <c r="AP17" i="6"/>
  <c r="AO17" i="6"/>
  <c r="AN17" i="6"/>
  <c r="AM17" i="6"/>
  <c r="AL17" i="6"/>
  <c r="AK17" i="6"/>
  <c r="AJ17" i="6"/>
  <c r="AJ13" i="6" s="1"/>
  <c r="AI17" i="6"/>
  <c r="AH17" i="6"/>
  <c r="AG17" i="6"/>
  <c r="AF17" i="6"/>
  <c r="AE17" i="6"/>
  <c r="AE13" i="6" s="1"/>
  <c r="AD17" i="6"/>
  <c r="AC17" i="6"/>
  <c r="AB17" i="6"/>
  <c r="AA17" i="6"/>
  <c r="Z17" i="6"/>
  <c r="Y17" i="6"/>
  <c r="X17" i="6"/>
  <c r="X13" i="6" s="1"/>
  <c r="W17" i="6"/>
  <c r="V17" i="6"/>
  <c r="U17" i="6"/>
  <c r="T17" i="6"/>
  <c r="S17" i="6"/>
  <c r="R17" i="6"/>
  <c r="Q17" i="6"/>
  <c r="P17" i="6"/>
  <c r="O17" i="6"/>
  <c r="N17" i="6"/>
  <c r="M17" i="6"/>
  <c r="L17" i="6"/>
  <c r="L13" i="6" s="1"/>
  <c r="K17" i="6"/>
  <c r="J17" i="6"/>
  <c r="I17" i="6"/>
  <c r="H17" i="6"/>
  <c r="G17" i="6"/>
  <c r="DX16" i="6"/>
  <c r="DW16" i="6"/>
  <c r="G16" i="6"/>
  <c r="F16" i="6"/>
  <c r="DZ16" i="6" s="1"/>
  <c r="E16" i="6"/>
  <c r="DY16" i="6" s="1"/>
  <c r="D16" i="6"/>
  <c r="C16" i="6"/>
  <c r="DX15" i="6"/>
  <c r="G15" i="6"/>
  <c r="F15" i="6"/>
  <c r="E15" i="6"/>
  <c r="DY15" i="6" s="1"/>
  <c r="D15" i="6"/>
  <c r="C15" i="6"/>
  <c r="DV14" i="6"/>
  <c r="DU14" i="6"/>
  <c r="DT14" i="6"/>
  <c r="DS14" i="6"/>
  <c r="DR14" i="6"/>
  <c r="DQ14" i="6"/>
  <c r="DP14" i="6"/>
  <c r="DO14" i="6"/>
  <c r="DO13" i="6" s="1"/>
  <c r="DN14" i="6"/>
  <c r="DM14" i="6"/>
  <c r="DL14" i="6"/>
  <c r="DK14" i="6"/>
  <c r="DJ14" i="6"/>
  <c r="DI14" i="6"/>
  <c r="DI13" i="6" s="1"/>
  <c r="DH14" i="6"/>
  <c r="DH13" i="6" s="1"/>
  <c r="DG14" i="6"/>
  <c r="DF14" i="6"/>
  <c r="DF13" i="6" s="1"/>
  <c r="DE14" i="6"/>
  <c r="DD14" i="6"/>
  <c r="DC14" i="6"/>
  <c r="DC13" i="6" s="1"/>
  <c r="DB14" i="6"/>
  <c r="DA14" i="6"/>
  <c r="CZ14" i="6"/>
  <c r="CY14" i="6"/>
  <c r="CX14" i="6"/>
  <c r="CW14" i="6"/>
  <c r="CV14" i="6"/>
  <c r="CU14" i="6"/>
  <c r="CT14" i="6"/>
  <c r="CT13" i="6" s="1"/>
  <c r="CT3" i="6" s="1"/>
  <c r="CS14" i="6"/>
  <c r="CR14" i="6"/>
  <c r="CQ14" i="6"/>
  <c r="CP14" i="6"/>
  <c r="CO14" i="6"/>
  <c r="CN14" i="6"/>
  <c r="CN13" i="6" s="1"/>
  <c r="CM14" i="6"/>
  <c r="CL14" i="6"/>
  <c r="CK14" i="6"/>
  <c r="CJ14" i="6"/>
  <c r="CI14" i="6"/>
  <c r="CH14" i="6"/>
  <c r="CG14" i="6"/>
  <c r="CF14" i="6"/>
  <c r="CE14" i="6"/>
  <c r="CD14" i="6"/>
  <c r="CC14" i="6"/>
  <c r="CB14" i="6"/>
  <c r="CB13" i="6" s="1"/>
  <c r="CA14" i="6"/>
  <c r="BZ14" i="6"/>
  <c r="BY14" i="6"/>
  <c r="BY13" i="6" s="1"/>
  <c r="BY3" i="6" s="1"/>
  <c r="BX14" i="6"/>
  <c r="BX13" i="6" s="1"/>
  <c r="BX3" i="6" s="1"/>
  <c r="BX103" i="6" s="1"/>
  <c r="BW14" i="6"/>
  <c r="BS14" i="6"/>
  <c r="BS13" i="6" s="1"/>
  <c r="BR14" i="6"/>
  <c r="BR13" i="6" s="1"/>
  <c r="BQ14" i="6"/>
  <c r="BQ13" i="6" s="1"/>
  <c r="BP14" i="6"/>
  <c r="BO14" i="6"/>
  <c r="BN14" i="6"/>
  <c r="BM14" i="6"/>
  <c r="BM13" i="6" s="1"/>
  <c r="BL14" i="6"/>
  <c r="BL13" i="6" s="1"/>
  <c r="BK14" i="6"/>
  <c r="BJ14" i="6"/>
  <c r="BI14" i="6"/>
  <c r="BI13" i="6" s="1"/>
  <c r="BH14" i="6"/>
  <c r="BG14" i="6"/>
  <c r="BG13" i="6" s="1"/>
  <c r="BF14" i="6"/>
  <c r="BF13" i="6" s="1"/>
  <c r="BE14" i="6"/>
  <c r="BE13" i="6" s="1"/>
  <c r="BD14" i="6"/>
  <c r="BC14" i="6"/>
  <c r="BB14" i="6"/>
  <c r="BA14" i="6"/>
  <c r="AZ14" i="6"/>
  <c r="AZ13" i="6" s="1"/>
  <c r="AY14" i="6"/>
  <c r="AX14" i="6"/>
  <c r="AW14" i="6"/>
  <c r="AV14" i="6"/>
  <c r="AU14" i="6"/>
  <c r="AT14" i="6"/>
  <c r="AT13" i="6" s="1"/>
  <c r="AS14" i="6"/>
  <c r="AS13" i="6" s="1"/>
  <c r="AR14" i="6"/>
  <c r="AQ14" i="6"/>
  <c r="AP14" i="6"/>
  <c r="AO14" i="6"/>
  <c r="AN14" i="6"/>
  <c r="AM14" i="6"/>
  <c r="AL14" i="6"/>
  <c r="AK14" i="6"/>
  <c r="AJ14" i="6"/>
  <c r="AI14" i="6"/>
  <c r="AH14" i="6"/>
  <c r="AG14" i="6"/>
  <c r="AF14" i="6"/>
  <c r="AE14" i="6"/>
  <c r="AD14" i="6"/>
  <c r="AC14" i="6"/>
  <c r="AC13" i="6" s="1"/>
  <c r="AB14" i="6"/>
  <c r="AB13" i="6" s="1"/>
  <c r="AA14" i="6"/>
  <c r="Z14" i="6"/>
  <c r="Y14" i="6"/>
  <c r="X14" i="6"/>
  <c r="W14" i="6"/>
  <c r="W13" i="6" s="1"/>
  <c r="V14" i="6"/>
  <c r="V13" i="6" s="1"/>
  <c r="U14" i="6"/>
  <c r="U13" i="6" s="1"/>
  <c r="T14" i="6"/>
  <c r="S14" i="6"/>
  <c r="R14" i="6"/>
  <c r="Q14" i="6"/>
  <c r="P14" i="6"/>
  <c r="O14" i="6"/>
  <c r="N14" i="6"/>
  <c r="N13" i="6" s="1"/>
  <c r="M14" i="6"/>
  <c r="L14" i="6"/>
  <c r="K14" i="6"/>
  <c r="K13" i="6" s="1"/>
  <c r="J14" i="6"/>
  <c r="J13" i="6" s="1"/>
  <c r="I14" i="6"/>
  <c r="I13" i="6" s="1"/>
  <c r="H14" i="6"/>
  <c r="G14" i="6"/>
  <c r="E14" i="6"/>
  <c r="D14" i="6"/>
  <c r="DX14" i="6" s="1"/>
  <c r="DV13" i="6"/>
  <c r="DU13" i="6"/>
  <c r="DT13" i="6"/>
  <c r="DS13" i="6"/>
  <c r="DP13" i="6"/>
  <c r="DN13" i="6"/>
  <c r="DL13" i="6"/>
  <c r="DG13" i="6"/>
  <c r="CZ13" i="6"/>
  <c r="CY13" i="6"/>
  <c r="CY3" i="6" s="1"/>
  <c r="CX13" i="6"/>
  <c r="CW13" i="6"/>
  <c r="CV13" i="6"/>
  <c r="CU13" i="6"/>
  <c r="CQ13" i="6"/>
  <c r="CM13" i="6"/>
  <c r="CL13" i="6"/>
  <c r="CK13" i="6"/>
  <c r="CJ13" i="6"/>
  <c r="CI13" i="6"/>
  <c r="CE13" i="6"/>
  <c r="BW13" i="6"/>
  <c r="BP13" i="6"/>
  <c r="BO13" i="6"/>
  <c r="BO3" i="6" s="1"/>
  <c r="BK13" i="6"/>
  <c r="BJ13" i="6"/>
  <c r="BD13" i="6"/>
  <c r="BC13" i="6"/>
  <c r="BA13" i="6"/>
  <c r="AY13" i="6"/>
  <c r="AU13" i="6"/>
  <c r="AR13" i="6"/>
  <c r="AQ13" i="6"/>
  <c r="AO13" i="6"/>
  <c r="AN13" i="6"/>
  <c r="AM13" i="6"/>
  <c r="AI13" i="6"/>
  <c r="AH13" i="6"/>
  <c r="AG13" i="6"/>
  <c r="AG3" i="6" s="1"/>
  <c r="AF13" i="6"/>
  <c r="AF3" i="6" s="1"/>
  <c r="AA13" i="6"/>
  <c r="T13" i="6"/>
  <c r="S13" i="6"/>
  <c r="S3" i="6" s="1"/>
  <c r="Q13" i="6"/>
  <c r="P13" i="6"/>
  <c r="O13" i="6"/>
  <c r="H13" i="6"/>
  <c r="G13" i="6"/>
  <c r="DZ12" i="6"/>
  <c r="DW12" i="6"/>
  <c r="H12" i="6"/>
  <c r="G12" i="6"/>
  <c r="F12" i="6"/>
  <c r="E12" i="6"/>
  <c r="DY12" i="6" s="1"/>
  <c r="D12" i="6"/>
  <c r="DX12" i="6" s="1"/>
  <c r="DY11" i="6"/>
  <c r="DX11" i="6"/>
  <c r="DW11" i="6"/>
  <c r="H11" i="6"/>
  <c r="G11" i="6"/>
  <c r="F11" i="6"/>
  <c r="DZ11" i="6" s="1"/>
  <c r="E11" i="6"/>
  <c r="D11" i="6"/>
  <c r="DY10" i="6"/>
  <c r="H10" i="6"/>
  <c r="H9" i="6" s="1"/>
  <c r="H4" i="6" s="1"/>
  <c r="H3" i="6" s="1"/>
  <c r="G10" i="6"/>
  <c r="DW10" i="6" s="1"/>
  <c r="F10" i="6"/>
  <c r="DZ10" i="6" s="1"/>
  <c r="E10" i="6"/>
  <c r="D10" i="6"/>
  <c r="DV9" i="6"/>
  <c r="DU9" i="6"/>
  <c r="DT9" i="6"/>
  <c r="DS9" i="6"/>
  <c r="DR9" i="6"/>
  <c r="DQ9" i="6"/>
  <c r="DP9" i="6"/>
  <c r="DO9" i="6"/>
  <c r="DN9" i="6"/>
  <c r="DM9" i="6"/>
  <c r="DM4" i="6" s="1"/>
  <c r="DL9" i="6"/>
  <c r="DK9" i="6"/>
  <c r="DJ9" i="6"/>
  <c r="DI9" i="6"/>
  <c r="DH9" i="6"/>
  <c r="DG9" i="6"/>
  <c r="DF9" i="6"/>
  <c r="DE9" i="6"/>
  <c r="DD9" i="6"/>
  <c r="DC9" i="6"/>
  <c r="DB9" i="6"/>
  <c r="DA9" i="6"/>
  <c r="CZ9" i="6"/>
  <c r="CY9" i="6"/>
  <c r="CX9" i="6"/>
  <c r="CX4" i="6" s="1"/>
  <c r="CW9" i="6"/>
  <c r="CV9" i="6"/>
  <c r="CU9" i="6"/>
  <c r="CT9" i="6"/>
  <c r="CS9" i="6"/>
  <c r="CR9" i="6"/>
  <c r="CQ9" i="6"/>
  <c r="CP9" i="6"/>
  <c r="CO9" i="6"/>
  <c r="CN9" i="6"/>
  <c r="CM9" i="6"/>
  <c r="CL9" i="6"/>
  <c r="CK9" i="6"/>
  <c r="CJ9" i="6"/>
  <c r="CI9" i="6"/>
  <c r="CH9" i="6"/>
  <c r="CG9" i="6"/>
  <c r="CF9" i="6"/>
  <c r="CE9" i="6"/>
  <c r="CD9" i="6"/>
  <c r="CC9" i="6"/>
  <c r="CC4" i="6" s="1"/>
  <c r="CB9" i="6"/>
  <c r="CA9" i="6"/>
  <c r="BZ9" i="6"/>
  <c r="BY9" i="6"/>
  <c r="BX9" i="6"/>
  <c r="BW9" i="6"/>
  <c r="BV9" i="6"/>
  <c r="BU9" i="6"/>
  <c r="BT9" i="6"/>
  <c r="BS9" i="6"/>
  <c r="BR9" i="6"/>
  <c r="BQ9" i="6"/>
  <c r="BP9" i="6"/>
  <c r="BO9" i="6"/>
  <c r="BN9" i="6"/>
  <c r="BN4" i="6" s="1"/>
  <c r="BM9" i="6"/>
  <c r="BL9" i="6"/>
  <c r="BK9" i="6"/>
  <c r="BJ9" i="6"/>
  <c r="BI9" i="6"/>
  <c r="BH9" i="6"/>
  <c r="BG9" i="6"/>
  <c r="BF9" i="6"/>
  <c r="BE9" i="6"/>
  <c r="BD9" i="6"/>
  <c r="BC9" i="6"/>
  <c r="BB9" i="6"/>
  <c r="BA9" i="6"/>
  <c r="AZ9" i="6"/>
  <c r="AY9" i="6"/>
  <c r="AX9" i="6"/>
  <c r="AW9" i="6"/>
  <c r="AV9" i="6"/>
  <c r="AU9" i="6"/>
  <c r="AT9" i="6"/>
  <c r="AS9" i="6"/>
  <c r="AR9" i="6"/>
  <c r="AQ9" i="6"/>
  <c r="AP9" i="6"/>
  <c r="AO9" i="6"/>
  <c r="AN9" i="6"/>
  <c r="AM9" i="6"/>
  <c r="AL9" i="6"/>
  <c r="AK9" i="6"/>
  <c r="AJ9" i="6"/>
  <c r="AI9" i="6"/>
  <c r="AH9" i="6"/>
  <c r="AG9" i="6"/>
  <c r="AG4" i="6" s="1"/>
  <c r="AF9" i="6"/>
  <c r="AF4" i="6" s="1"/>
  <c r="AE9" i="6"/>
  <c r="AE4" i="6" s="1"/>
  <c r="AD9" i="6"/>
  <c r="AD4" i="6" s="1"/>
  <c r="AC9" i="6"/>
  <c r="AB9" i="6"/>
  <c r="AA9" i="6"/>
  <c r="Z9" i="6"/>
  <c r="Y9" i="6"/>
  <c r="X9" i="6"/>
  <c r="W9" i="6"/>
  <c r="V9" i="6"/>
  <c r="U9" i="6"/>
  <c r="T9" i="6"/>
  <c r="T4" i="6" s="1"/>
  <c r="T3" i="6" s="1"/>
  <c r="S9" i="6"/>
  <c r="S4" i="6" s="1"/>
  <c r="R9" i="6"/>
  <c r="R4" i="6" s="1"/>
  <c r="Q9" i="6"/>
  <c r="P9" i="6"/>
  <c r="O9" i="6"/>
  <c r="N9" i="6"/>
  <c r="M9" i="6"/>
  <c r="L9" i="6"/>
  <c r="K9" i="6"/>
  <c r="J9" i="6"/>
  <c r="I9" i="6"/>
  <c r="E9" i="6"/>
  <c r="DY9" i="6" s="1"/>
  <c r="D9" i="6"/>
  <c r="DX9" i="6" s="1"/>
  <c r="C9" i="6"/>
  <c r="G8" i="6"/>
  <c r="G5" i="6" s="1"/>
  <c r="F8" i="6"/>
  <c r="DZ8" i="6" s="1"/>
  <c r="E8" i="6"/>
  <c r="DY8" i="6" s="1"/>
  <c r="D8" i="6"/>
  <c r="DX8" i="6" s="1"/>
  <c r="C8" i="6"/>
  <c r="DZ7" i="6"/>
  <c r="G7" i="6"/>
  <c r="F7" i="6"/>
  <c r="E7" i="6"/>
  <c r="DY7" i="6" s="1"/>
  <c r="D7" i="6"/>
  <c r="DX7" i="6" s="1"/>
  <c r="C7" i="6"/>
  <c r="DW7" i="6" s="1"/>
  <c r="DZ6" i="6"/>
  <c r="DY6" i="6"/>
  <c r="BF6" i="6"/>
  <c r="BE6" i="6"/>
  <c r="BD6" i="6"/>
  <c r="BC6" i="6"/>
  <c r="G6" i="6"/>
  <c r="F6" i="6"/>
  <c r="E6" i="6"/>
  <c r="E5" i="6" s="1"/>
  <c r="D6" i="6"/>
  <c r="D5" i="6" s="1"/>
  <c r="C6" i="6"/>
  <c r="DV5" i="6"/>
  <c r="DU5" i="6"/>
  <c r="DT5" i="6"/>
  <c r="DS5" i="6"/>
  <c r="DR5" i="6"/>
  <c r="DR4" i="6" s="1"/>
  <c r="DQ5" i="6"/>
  <c r="DP5" i="6"/>
  <c r="DP4" i="6" s="1"/>
  <c r="DP3" i="6" s="1"/>
  <c r="DO5" i="6"/>
  <c r="DO4" i="6" s="1"/>
  <c r="DO3" i="6" s="1"/>
  <c r="DN5" i="6"/>
  <c r="DN4" i="6" s="1"/>
  <c r="DN3" i="6" s="1"/>
  <c r="DN103" i="6" s="1"/>
  <c r="DM5" i="6"/>
  <c r="DL5" i="6"/>
  <c r="DK5" i="6"/>
  <c r="DJ5" i="6"/>
  <c r="DI5" i="6"/>
  <c r="DH5" i="6"/>
  <c r="DG5" i="6"/>
  <c r="DF5" i="6"/>
  <c r="DF4" i="6" s="1"/>
  <c r="DE5" i="6"/>
  <c r="DE4" i="6" s="1"/>
  <c r="DD5" i="6"/>
  <c r="DD4" i="6" s="1"/>
  <c r="DC5" i="6"/>
  <c r="DB5" i="6"/>
  <c r="DA5" i="6"/>
  <c r="CZ5" i="6"/>
  <c r="CY5" i="6"/>
  <c r="CX5" i="6"/>
  <c r="CW5" i="6"/>
  <c r="CW4" i="6" s="1"/>
  <c r="CV5" i="6"/>
  <c r="CV4" i="6" s="1"/>
  <c r="CU5" i="6"/>
  <c r="CT5" i="6"/>
  <c r="CT4" i="6" s="1"/>
  <c r="CS5" i="6"/>
  <c r="CS4" i="6" s="1"/>
  <c r="CR5" i="6"/>
  <c r="CR4" i="6" s="1"/>
  <c r="CQ5" i="6"/>
  <c r="CQ4" i="6" s="1"/>
  <c r="CQ3" i="6" s="1"/>
  <c r="CQ103" i="6" s="1"/>
  <c r="CP5" i="6"/>
  <c r="CP4" i="6" s="1"/>
  <c r="CP3" i="6" s="1"/>
  <c r="CP103" i="6" s="1"/>
  <c r="CO5" i="6"/>
  <c r="CN5" i="6"/>
  <c r="CM5" i="6"/>
  <c r="CL5" i="6"/>
  <c r="CK5" i="6"/>
  <c r="CJ5" i="6"/>
  <c r="CI5" i="6"/>
  <c r="CH5" i="6"/>
  <c r="CH4" i="6" s="1"/>
  <c r="CG5" i="6"/>
  <c r="CG4" i="6" s="1"/>
  <c r="CF5" i="6"/>
  <c r="CF4" i="6" s="1"/>
  <c r="CE5" i="6"/>
  <c r="CE4" i="6" s="1"/>
  <c r="CE3" i="6" s="1"/>
  <c r="CD5" i="6"/>
  <c r="CD4" i="6" s="1"/>
  <c r="CD3" i="6" s="1"/>
  <c r="CD103" i="6" s="1"/>
  <c r="CC5" i="6"/>
  <c r="CB5" i="6"/>
  <c r="CA5" i="6"/>
  <c r="BZ5" i="6"/>
  <c r="BY5" i="6"/>
  <c r="BX5" i="6"/>
  <c r="BW5" i="6"/>
  <c r="BV5" i="6"/>
  <c r="BU5" i="6"/>
  <c r="BT5" i="6"/>
  <c r="BT4" i="6" s="1"/>
  <c r="BT3" i="6" s="1"/>
  <c r="BS5" i="6"/>
  <c r="BS4" i="6" s="1"/>
  <c r="BR5" i="6"/>
  <c r="BR4" i="6" s="1"/>
  <c r="BR3" i="6" s="1"/>
  <c r="BQ5" i="6"/>
  <c r="BP5" i="6"/>
  <c r="BO5" i="6"/>
  <c r="BN5" i="6"/>
  <c r="BM5" i="6"/>
  <c r="BM4" i="6" s="1"/>
  <c r="BM3" i="6" s="1"/>
  <c r="BL5" i="6"/>
  <c r="BL4" i="6" s="1"/>
  <c r="BK5" i="6"/>
  <c r="BJ5" i="6"/>
  <c r="BJ4" i="6" s="1"/>
  <c r="BI5" i="6"/>
  <c r="BI4" i="6" s="1"/>
  <c r="BI3" i="6" s="1"/>
  <c r="BH5" i="6"/>
  <c r="BH4" i="6" s="1"/>
  <c r="BH3" i="6" s="1"/>
  <c r="BG5" i="6"/>
  <c r="BG4" i="6" s="1"/>
  <c r="BG3" i="6" s="1"/>
  <c r="BF5" i="6"/>
  <c r="BF4" i="6" s="1"/>
  <c r="BF3" i="6" s="1"/>
  <c r="BE5" i="6"/>
  <c r="BE4" i="6" s="1"/>
  <c r="BD5" i="6"/>
  <c r="BC5" i="6"/>
  <c r="BB5" i="6"/>
  <c r="BA5" i="6"/>
  <c r="AZ5" i="6"/>
  <c r="AY5" i="6"/>
  <c r="AX5" i="6"/>
  <c r="AX4" i="6" s="1"/>
  <c r="AW5" i="6"/>
  <c r="AW4" i="6" s="1"/>
  <c r="AV5" i="6"/>
  <c r="AV4" i="6" s="1"/>
  <c r="AU5" i="6"/>
  <c r="AU4" i="6" s="1"/>
  <c r="AU3" i="6" s="1"/>
  <c r="AT5" i="6"/>
  <c r="AT4" i="6" s="1"/>
  <c r="AT3" i="6" s="1"/>
  <c r="AT103" i="6" s="1"/>
  <c r="AS5" i="6"/>
  <c r="AS4" i="6" s="1"/>
  <c r="AR5" i="6"/>
  <c r="AR4" i="6" s="1"/>
  <c r="AR3" i="6" s="1"/>
  <c r="AQ5" i="6"/>
  <c r="AP5" i="6"/>
  <c r="AO5" i="6"/>
  <c r="AN5" i="6"/>
  <c r="AM5" i="6"/>
  <c r="AL5" i="6"/>
  <c r="AK5" i="6"/>
  <c r="AJ5" i="6"/>
  <c r="AJ4" i="6" s="1"/>
  <c r="AJ3" i="6" s="1"/>
  <c r="AI5" i="6"/>
  <c r="AI4" i="6" s="1"/>
  <c r="AI3" i="6" s="1"/>
  <c r="AH5" i="6"/>
  <c r="AH4" i="6" s="1"/>
  <c r="AH3" i="6" s="1"/>
  <c r="AG5" i="6"/>
  <c r="AF5" i="6"/>
  <c r="AE5" i="6"/>
  <c r="AD5" i="6"/>
  <c r="AC5" i="6"/>
  <c r="AC4" i="6" s="1"/>
  <c r="AB5" i="6"/>
  <c r="AB4" i="6" s="1"/>
  <c r="AB3" i="6" s="1"/>
  <c r="AB103" i="6" s="1"/>
  <c r="AA5" i="6"/>
  <c r="Z5" i="6"/>
  <c r="Z4" i="6" s="1"/>
  <c r="Y5" i="6"/>
  <c r="Y4" i="6" s="1"/>
  <c r="X5" i="6"/>
  <c r="X4" i="6" s="1"/>
  <c r="W5" i="6"/>
  <c r="W4" i="6" s="1"/>
  <c r="V5" i="6"/>
  <c r="V4" i="6" s="1"/>
  <c r="V3" i="6" s="1"/>
  <c r="U5" i="6"/>
  <c r="T5" i="6"/>
  <c r="S5" i="6"/>
  <c r="R5" i="6"/>
  <c r="Q5" i="6"/>
  <c r="P5" i="6"/>
  <c r="O5" i="6"/>
  <c r="N5" i="6"/>
  <c r="N4" i="6" s="1"/>
  <c r="M5" i="6"/>
  <c r="M4" i="6" s="1"/>
  <c r="L5" i="6"/>
  <c r="L4" i="6" s="1"/>
  <c r="K5" i="6"/>
  <c r="K4" i="6" s="1"/>
  <c r="K3" i="6" s="1"/>
  <c r="J5" i="6"/>
  <c r="J4" i="6" s="1"/>
  <c r="J3" i="6" s="1"/>
  <c r="I5" i="6"/>
  <c r="H5" i="6"/>
  <c r="DV4" i="6"/>
  <c r="DV3" i="6" s="1"/>
  <c r="DQ4" i="6"/>
  <c r="DL4" i="6"/>
  <c r="DK4" i="6"/>
  <c r="DJ4" i="6"/>
  <c r="DI4" i="6"/>
  <c r="DC4" i="6"/>
  <c r="DC3" i="6" s="1"/>
  <c r="DB4" i="6"/>
  <c r="DA4" i="6"/>
  <c r="CZ4" i="6"/>
  <c r="CZ3" i="6" s="1"/>
  <c r="CY4" i="6"/>
  <c r="CO4" i="6"/>
  <c r="CN4" i="6"/>
  <c r="CM4" i="6"/>
  <c r="CM3" i="6" s="1"/>
  <c r="CL4" i="6"/>
  <c r="CL3" i="6" s="1"/>
  <c r="CK4" i="6"/>
  <c r="CK3" i="6" s="1"/>
  <c r="CJ4" i="6"/>
  <c r="CJ3" i="6" s="1"/>
  <c r="CB4" i="6"/>
  <c r="CA4" i="6"/>
  <c r="BZ4" i="6"/>
  <c r="BY4" i="6"/>
  <c r="BX4" i="6"/>
  <c r="BV4" i="6"/>
  <c r="BV3" i="6" s="1"/>
  <c r="BU4" i="6"/>
  <c r="BU3" i="6" s="1"/>
  <c r="BQ4" i="6"/>
  <c r="BQ3" i="6" s="1"/>
  <c r="BP4" i="6"/>
  <c r="BP3" i="6" s="1"/>
  <c r="BO4" i="6"/>
  <c r="BD4" i="6"/>
  <c r="BD3" i="6" s="1"/>
  <c r="BC4" i="6"/>
  <c r="BC3" i="6" s="1"/>
  <c r="BB4" i="6"/>
  <c r="BA4" i="6"/>
  <c r="BA3" i="6" s="1"/>
  <c r="AZ4" i="6"/>
  <c r="AZ3" i="6" s="1"/>
  <c r="AQ4" i="6"/>
  <c r="AQ3" i="6" s="1"/>
  <c r="AP4" i="6"/>
  <c r="AO4" i="6"/>
  <c r="AN4" i="6"/>
  <c r="AL4" i="6"/>
  <c r="AK4" i="6"/>
  <c r="U4" i="6"/>
  <c r="U3" i="6" s="1"/>
  <c r="U103" i="6" s="1"/>
  <c r="Q4" i="6"/>
  <c r="Q3" i="6" s="1"/>
  <c r="P4" i="6"/>
  <c r="I4" i="6"/>
  <c r="DL3" i="6"/>
  <c r="DI3" i="6"/>
  <c r="CV3" i="6"/>
  <c r="CV103" i="6" s="1"/>
  <c r="CN3" i="6"/>
  <c r="CB3" i="6"/>
  <c r="BL3" i="6"/>
  <c r="BL103" i="6" s="1"/>
  <c r="BJ3" i="6"/>
  <c r="BJ103" i="6" s="1"/>
  <c r="AS3" i="6"/>
  <c r="AO3" i="6"/>
  <c r="AN3" i="6"/>
  <c r="W3" i="6"/>
  <c r="W103" i="6" s="1"/>
  <c r="I3" i="6"/>
  <c r="V103" i="6" l="1"/>
  <c r="BI22" i="6"/>
  <c r="BI103" i="6" s="1"/>
  <c r="BC103" i="6"/>
  <c r="DK103" i="6"/>
  <c r="BF103" i="6"/>
  <c r="DX5" i="6"/>
  <c r="D4" i="6"/>
  <c r="L3" i="6"/>
  <c r="X3" i="6"/>
  <c r="AV3" i="6"/>
  <c r="CF3" i="6"/>
  <c r="CR3" i="6"/>
  <c r="DD3" i="6"/>
  <c r="CC3" i="6"/>
  <c r="CC103" i="6" s="1"/>
  <c r="DM3" i="6"/>
  <c r="DM103" i="6" s="1"/>
  <c r="X22" i="6"/>
  <c r="C24" i="6"/>
  <c r="DA22" i="6"/>
  <c r="AN53" i="6"/>
  <c r="DZ70" i="6"/>
  <c r="F68" i="6"/>
  <c r="CJ103" i="6"/>
  <c r="M3" i="6"/>
  <c r="M103" i="6" s="1"/>
  <c r="AW3" i="6"/>
  <c r="CG3" i="6"/>
  <c r="BO103" i="6"/>
  <c r="D24" i="6"/>
  <c r="CK67" i="6"/>
  <c r="CK66" i="6" s="1"/>
  <c r="CW67" i="6"/>
  <c r="CW66" i="6" s="1"/>
  <c r="DP67" i="6"/>
  <c r="DP66" i="6" s="1"/>
  <c r="G67" i="6"/>
  <c r="G66" i="6" s="1"/>
  <c r="DY91" i="6"/>
  <c r="N3" i="6"/>
  <c r="AX3" i="6"/>
  <c r="AX103" i="6" s="1"/>
  <c r="CH3" i="6"/>
  <c r="AH22" i="6"/>
  <c r="DL103" i="6"/>
  <c r="AK3" i="6"/>
  <c r="N52" i="6"/>
  <c r="N51" i="6" s="1"/>
  <c r="Z52" i="6"/>
  <c r="Z51" i="6" s="1"/>
  <c r="AL52" i="6"/>
  <c r="AL51" i="6" s="1"/>
  <c r="BA52" i="6"/>
  <c r="BA51" i="6" s="1"/>
  <c r="BA103" i="6" s="1"/>
  <c r="BM52" i="6"/>
  <c r="BM51" i="6" s="1"/>
  <c r="BM103" i="6" s="1"/>
  <c r="Q103" i="6"/>
  <c r="DX47" i="6"/>
  <c r="G83" i="6"/>
  <c r="DW85" i="6"/>
  <c r="CM103" i="6"/>
  <c r="S103" i="6"/>
  <c r="AH103" i="6"/>
  <c r="DX54" i="6"/>
  <c r="H53" i="6"/>
  <c r="H52" i="6" s="1"/>
  <c r="H51" i="6" s="1"/>
  <c r="BS3" i="6"/>
  <c r="DY5" i="6"/>
  <c r="E4" i="6"/>
  <c r="DI103" i="6"/>
  <c r="BP103" i="6"/>
  <c r="AF22" i="6"/>
  <c r="CB103" i="6"/>
  <c r="AC3" i="6"/>
  <c r="CW3" i="6"/>
  <c r="CW103" i="6" s="1"/>
  <c r="DY14" i="6"/>
  <c r="E13" i="6"/>
  <c r="DY13" i="6" s="1"/>
  <c r="C14" i="6"/>
  <c r="DW15" i="6"/>
  <c r="DZ31" i="6"/>
  <c r="F24" i="6"/>
  <c r="CN103" i="6"/>
  <c r="DV103" i="6"/>
  <c r="DX6" i="6"/>
  <c r="CY103" i="6"/>
  <c r="I22" i="6"/>
  <c r="I103" i="6" s="1"/>
  <c r="EB39" i="6"/>
  <c r="EA39" i="6"/>
  <c r="B40" i="6"/>
  <c r="B39" i="6" s="1"/>
  <c r="AF103" i="6"/>
  <c r="DW18" i="6"/>
  <c r="C17" i="6"/>
  <c r="DW17" i="6" s="1"/>
  <c r="J22" i="6"/>
  <c r="J103" i="6" s="1"/>
  <c r="BH24" i="6"/>
  <c r="BH23" i="6" s="1"/>
  <c r="DZ58" i="6"/>
  <c r="AP57" i="6"/>
  <c r="AP52" i="6" s="1"/>
  <c r="AP51" i="6" s="1"/>
  <c r="DW95" i="6"/>
  <c r="CZ103" i="6"/>
  <c r="DW8" i="6"/>
  <c r="CR13" i="6"/>
  <c r="DD13" i="6"/>
  <c r="DX18" i="6"/>
  <c r="D17" i="6"/>
  <c r="AR22" i="6"/>
  <c r="AR103" i="6" s="1"/>
  <c r="AY24" i="6"/>
  <c r="AY23" i="6" s="1"/>
  <c r="AY22" i="6" s="1"/>
  <c r="AC22" i="6"/>
  <c r="AO22" i="6"/>
  <c r="AO103" i="6" s="1"/>
  <c r="BM22" i="6"/>
  <c r="CK22" i="6"/>
  <c r="CW22" i="6"/>
  <c r="DI22" i="6"/>
  <c r="DU22" i="6"/>
  <c r="DZ72" i="6"/>
  <c r="F71" i="6"/>
  <c r="DZ71" i="6" s="1"/>
  <c r="DY95" i="6"/>
  <c r="AG94" i="6"/>
  <c r="AG67" i="6" s="1"/>
  <c r="AG66" i="6" s="1"/>
  <c r="AG103" i="6" s="1"/>
  <c r="DX95" i="6"/>
  <c r="P3" i="6"/>
  <c r="P103" i="6" s="1"/>
  <c r="AZ103" i="6"/>
  <c r="BE3" i="6"/>
  <c r="DW6" i="6"/>
  <c r="C5" i="6"/>
  <c r="AD3" i="6"/>
  <c r="AD103" i="6" s="1"/>
  <c r="BN3" i="6"/>
  <c r="CX3" i="6"/>
  <c r="CX103" i="6" s="1"/>
  <c r="CS13" i="6"/>
  <c r="CS3" i="6" s="1"/>
  <c r="DY18" i="6"/>
  <c r="E17" i="6"/>
  <c r="DY17" i="6" s="1"/>
  <c r="AS22" i="6"/>
  <c r="AS103" i="6" s="1"/>
  <c r="AZ23" i="6"/>
  <c r="AZ22" i="6" s="1"/>
  <c r="G71" i="6"/>
  <c r="DW72" i="6"/>
  <c r="DW75" i="6"/>
  <c r="DY98" i="6"/>
  <c r="E94" i="6"/>
  <c r="DE3" i="6"/>
  <c r="AU22" i="6"/>
  <c r="AU103" i="6" s="1"/>
  <c r="AP22" i="6"/>
  <c r="DX57" i="6"/>
  <c r="DF3" i="6"/>
  <c r="DR13" i="6"/>
  <c r="DZ15" i="6"/>
  <c r="F14" i="6"/>
  <c r="BC22" i="6"/>
  <c r="DZ96" i="6"/>
  <c r="F94" i="6"/>
  <c r="DZ94" i="6" s="1"/>
  <c r="AP3" i="6"/>
  <c r="AA4" i="6"/>
  <c r="AA3" i="6" s="1"/>
  <c r="AA103" i="6" s="1"/>
  <c r="BK4" i="6"/>
  <c r="BK3" i="6" s="1"/>
  <c r="BK103" i="6" s="1"/>
  <c r="DS4" i="6"/>
  <c r="DS3" i="6" s="1"/>
  <c r="DS103" i="6" s="1"/>
  <c r="DO22" i="6"/>
  <c r="DO103" i="6" s="1"/>
  <c r="BR22" i="6"/>
  <c r="BR103" i="6" s="1"/>
  <c r="DI67" i="6"/>
  <c r="DI66" i="6" s="1"/>
  <c r="AQ103" i="6"/>
  <c r="Y13" i="6"/>
  <c r="Y3" i="6" s="1"/>
  <c r="BE22" i="6"/>
  <c r="DK52" i="6"/>
  <c r="DK51" i="6" s="1"/>
  <c r="H71" i="6"/>
  <c r="H67" i="6" s="1"/>
  <c r="H66" i="6" s="1"/>
  <c r="DX73" i="6"/>
  <c r="R3" i="6"/>
  <c r="R103" i="6" s="1"/>
  <c r="DX10" i="6"/>
  <c r="AX13" i="6"/>
  <c r="EA40" i="6"/>
  <c r="BG41" i="6"/>
  <c r="BG22" i="6" s="1"/>
  <c r="BG103" i="6" s="1"/>
  <c r="F42" i="6"/>
  <c r="DZ43" i="6"/>
  <c r="J67" i="6"/>
  <c r="J66" i="6" s="1"/>
  <c r="BR67" i="6"/>
  <c r="BR66" i="6" s="1"/>
  <c r="DX80" i="6"/>
  <c r="D75" i="6"/>
  <c r="D67" i="6" s="1"/>
  <c r="DX82" i="6"/>
  <c r="DX101" i="6"/>
  <c r="D99" i="6"/>
  <c r="DX99" i="6" s="1"/>
  <c r="G9" i="6"/>
  <c r="G4" i="6" s="1"/>
  <c r="G3" i="6" s="1"/>
  <c r="AE3" i="6"/>
  <c r="AI22" i="6"/>
  <c r="CS23" i="6"/>
  <c r="E24" i="6"/>
  <c r="DY25" i="6"/>
  <c r="L41" i="6"/>
  <c r="L22" i="6" s="1"/>
  <c r="X41" i="6"/>
  <c r="AJ41" i="6"/>
  <c r="AJ22" i="6" s="1"/>
  <c r="AJ103" i="6" s="1"/>
  <c r="AV41" i="6"/>
  <c r="AV22" i="6" s="1"/>
  <c r="BH41" i="6"/>
  <c r="BT41" i="6"/>
  <c r="BT22" i="6" s="1"/>
  <c r="BT103" i="6" s="1"/>
  <c r="CF41" i="6"/>
  <c r="CR41" i="6"/>
  <c r="CR22" i="6" s="1"/>
  <c r="DD41" i="6"/>
  <c r="DD22" i="6" s="1"/>
  <c r="DP41" i="6"/>
  <c r="DP22" i="6" s="1"/>
  <c r="DP103" i="6" s="1"/>
  <c r="G42" i="6"/>
  <c r="G41" i="6" s="1"/>
  <c r="G22" i="6" s="1"/>
  <c r="DY53" i="6"/>
  <c r="DW60" i="6"/>
  <c r="K67" i="6"/>
  <c r="K66" i="6" s="1"/>
  <c r="C68" i="6"/>
  <c r="DW69" i="6"/>
  <c r="DY77" i="6"/>
  <c r="E75" i="6"/>
  <c r="DY75" i="6" s="1"/>
  <c r="DW77" i="6"/>
  <c r="S75" i="6"/>
  <c r="S67" i="6" s="1"/>
  <c r="S66" i="6" s="1"/>
  <c r="DY82" i="6"/>
  <c r="F5" i="6"/>
  <c r="C42" i="6"/>
  <c r="DW43" i="6"/>
  <c r="BY52" i="6"/>
  <c r="BY51" i="6" s="1"/>
  <c r="BY103" i="6" s="1"/>
  <c r="CW52" i="6"/>
  <c r="CW51" i="6" s="1"/>
  <c r="DY57" i="6"/>
  <c r="AV83" i="6"/>
  <c r="DX83" i="6" s="1"/>
  <c r="DX85" i="6"/>
  <c r="AM4" i="6"/>
  <c r="AM3" i="6" s="1"/>
  <c r="AM103" i="6" s="1"/>
  <c r="CI4" i="6"/>
  <c r="CI3" i="6" s="1"/>
  <c r="DG4" i="6"/>
  <c r="DG3" i="6" s="1"/>
  <c r="DG103" i="6" s="1"/>
  <c r="DH4" i="6"/>
  <c r="DH3" i="6" s="1"/>
  <c r="DH103" i="6" s="1"/>
  <c r="AK13" i="6"/>
  <c r="F17" i="6"/>
  <c r="DZ17" i="6" s="1"/>
  <c r="K22" i="6"/>
  <c r="K103" i="6" s="1"/>
  <c r="DX26" i="6"/>
  <c r="CM52" i="6"/>
  <c r="CM51" i="6" s="1"/>
  <c r="DF67" i="6"/>
  <c r="DF66" i="6" s="1"/>
  <c r="AC71" i="6"/>
  <c r="AC67" i="6" s="1"/>
  <c r="AC66" i="6" s="1"/>
  <c r="DW81" i="6"/>
  <c r="AL13" i="6"/>
  <c r="AL3" i="6" s="1"/>
  <c r="AL103" i="6" s="1"/>
  <c r="CA13" i="6"/>
  <c r="CA3" i="6" s="1"/>
  <c r="DC22" i="6"/>
  <c r="BI41" i="6"/>
  <c r="BU41" i="6"/>
  <c r="BU22" i="6" s="1"/>
  <c r="BU103" i="6" s="1"/>
  <c r="CG41" i="6"/>
  <c r="CS41" i="6"/>
  <c r="DE41" i="6"/>
  <c r="DE22" i="6" s="1"/>
  <c r="DQ41" i="6"/>
  <c r="DQ22" i="6" s="1"/>
  <c r="DX43" i="6"/>
  <c r="H42" i="6"/>
  <c r="H41" i="6" s="1"/>
  <c r="H22" i="6" s="1"/>
  <c r="H103" i="6" s="1"/>
  <c r="DW55" i="6"/>
  <c r="L67" i="6"/>
  <c r="L66" i="6" s="1"/>
  <c r="X67" i="6"/>
  <c r="X66" i="6" s="1"/>
  <c r="AJ67" i="6"/>
  <c r="AJ66" i="6" s="1"/>
  <c r="BH67" i="6"/>
  <c r="BH66" i="6" s="1"/>
  <c r="DE13" i="6"/>
  <c r="DQ13" i="6"/>
  <c r="DQ3" i="6" s="1"/>
  <c r="DQ103" i="6" s="1"/>
  <c r="DW84" i="6"/>
  <c r="DR3" i="6"/>
  <c r="DW27" i="6"/>
  <c r="CK52" i="6"/>
  <c r="CK51" i="6" s="1"/>
  <c r="CK103" i="6" s="1"/>
  <c r="DU94" i="6"/>
  <c r="DU67" i="6" s="1"/>
  <c r="DU66" i="6" s="1"/>
  <c r="O4" i="6"/>
  <c r="O3" i="6" s="1"/>
  <c r="O103" i="6" s="1"/>
  <c r="AY4" i="6"/>
  <c r="AY3" i="6" s="1"/>
  <c r="BW4" i="6"/>
  <c r="BW3" i="6" s="1"/>
  <c r="BW103" i="6" s="1"/>
  <c r="CU4" i="6"/>
  <c r="CU3" i="6" s="1"/>
  <c r="BD22" i="6"/>
  <c r="DW26" i="6"/>
  <c r="DT4" i="6"/>
  <c r="DT3" i="6" s="1"/>
  <c r="DT103" i="6" s="1"/>
  <c r="M13" i="6"/>
  <c r="BQ22" i="6"/>
  <c r="BQ103" i="6" s="1"/>
  <c r="F47" i="6"/>
  <c r="DZ47" i="6" s="1"/>
  <c r="CA52" i="6"/>
  <c r="CA51" i="6" s="1"/>
  <c r="F83" i="6"/>
  <c r="DZ83" i="6" s="1"/>
  <c r="DZ84" i="6"/>
  <c r="DX96" i="6"/>
  <c r="F99" i="6"/>
  <c r="DZ99" i="6" s="1"/>
  <c r="DU4" i="6"/>
  <c r="DU3" i="6" s="1"/>
  <c r="F9" i="6"/>
  <c r="DZ9" i="6" s="1"/>
  <c r="Z13" i="6"/>
  <c r="Z3" i="6" s="1"/>
  <c r="DX25" i="6"/>
  <c r="CI23" i="6"/>
  <c r="CI22" i="6" s="1"/>
  <c r="CU23" i="6"/>
  <c r="CU22" i="6" s="1"/>
  <c r="DW31" i="6"/>
  <c r="E52" i="6"/>
  <c r="DO52" i="6"/>
  <c r="DO51" i="6" s="1"/>
  <c r="DZ54" i="6"/>
  <c r="F53" i="6"/>
  <c r="M67" i="6"/>
  <c r="M66" i="6" s="1"/>
  <c r="Y67" i="6"/>
  <c r="Y66" i="6" s="1"/>
  <c r="AK67" i="6"/>
  <c r="AK66" i="6" s="1"/>
  <c r="AW67" i="6"/>
  <c r="AW66" i="6" s="1"/>
  <c r="BI67" i="6"/>
  <c r="BI66" i="6" s="1"/>
  <c r="E71" i="6"/>
  <c r="T75" i="6"/>
  <c r="T67" i="6" s="1"/>
  <c r="T66" i="6" s="1"/>
  <c r="T103" i="6" s="1"/>
  <c r="DW90" i="6"/>
  <c r="BN41" i="6"/>
  <c r="BN22" i="6" s="1"/>
  <c r="CX41" i="6"/>
  <c r="CX22" i="6" s="1"/>
  <c r="AR52" i="6"/>
  <c r="AR51" i="6" s="1"/>
  <c r="CN52" i="6"/>
  <c r="CN51" i="6" s="1"/>
  <c r="DL52" i="6"/>
  <c r="DL51" i="6" s="1"/>
  <c r="DB52" i="6"/>
  <c r="DB51" i="6" s="1"/>
  <c r="DY61" i="6"/>
  <c r="BV67" i="6"/>
  <c r="BV66" i="6" s="1"/>
  <c r="BV103" i="6" s="1"/>
  <c r="F75" i="6"/>
  <c r="DZ76" i="6"/>
  <c r="DW80" i="6"/>
  <c r="DW88" i="6"/>
  <c r="DX93" i="6"/>
  <c r="R13" i="6"/>
  <c r="AD13" i="6"/>
  <c r="AP13" i="6"/>
  <c r="BB13" i="6"/>
  <c r="BB3" i="6" s="1"/>
  <c r="BB103" i="6" s="1"/>
  <c r="BN13" i="6"/>
  <c r="CC13" i="6"/>
  <c r="CO13" i="6"/>
  <c r="CO3" i="6" s="1"/>
  <c r="CO103" i="6" s="1"/>
  <c r="DA13" i="6"/>
  <c r="DA3" i="6" s="1"/>
  <c r="DA103" i="6" s="1"/>
  <c r="DM13" i="6"/>
  <c r="CE22" i="6"/>
  <c r="CE103" i="6" s="1"/>
  <c r="E42" i="6"/>
  <c r="DX55" i="6"/>
  <c r="BF52" i="6"/>
  <c r="BF51" i="6" s="1"/>
  <c r="DZ61" i="6"/>
  <c r="DC68" i="6"/>
  <c r="DC67" i="6" s="1"/>
  <c r="DC66" i="6" s="1"/>
  <c r="DC103" i="6" s="1"/>
  <c r="CY67" i="6"/>
  <c r="CY66" i="6" s="1"/>
  <c r="BK67" i="6"/>
  <c r="BK66" i="6" s="1"/>
  <c r="V75" i="6"/>
  <c r="DZ77" i="6"/>
  <c r="DY79" i="6"/>
  <c r="DX94" i="6"/>
  <c r="DB13" i="6"/>
  <c r="DB3" i="6" s="1"/>
  <c r="DB103" i="6" s="1"/>
  <c r="CF22" i="6"/>
  <c r="D42" i="6"/>
  <c r="BG47" i="6"/>
  <c r="DW54" i="6"/>
  <c r="C53" i="6"/>
  <c r="DY55" i="6"/>
  <c r="DX58" i="6"/>
  <c r="C57" i="6"/>
  <c r="DW57" i="6" s="1"/>
  <c r="V67" i="6"/>
  <c r="V66" i="6" s="1"/>
  <c r="CG67" i="6"/>
  <c r="CG66" i="6" s="1"/>
  <c r="CS67" i="6"/>
  <c r="CS66" i="6" s="1"/>
  <c r="DD68" i="6"/>
  <c r="DD67" i="6" s="1"/>
  <c r="DD66" i="6" s="1"/>
  <c r="BS22" i="6"/>
  <c r="CG23" i="6"/>
  <c r="DW32" i="6"/>
  <c r="DX50" i="6"/>
  <c r="D53" i="6"/>
  <c r="BD57" i="6"/>
  <c r="BD52" i="6" s="1"/>
  <c r="BD51" i="6" s="1"/>
  <c r="DX60" i="6"/>
  <c r="BG67" i="6"/>
  <c r="BG66" i="6" s="1"/>
  <c r="BS67" i="6"/>
  <c r="BS66" i="6" s="1"/>
  <c r="CH67" i="6"/>
  <c r="CH66" i="6" s="1"/>
  <c r="CT67" i="6"/>
  <c r="CT66" i="6" s="1"/>
  <c r="CT103" i="6" s="1"/>
  <c r="DE68" i="6"/>
  <c r="DE67" i="6" s="1"/>
  <c r="DE66" i="6" s="1"/>
  <c r="DY69" i="6"/>
  <c r="DY76" i="6"/>
  <c r="J83" i="6"/>
  <c r="G47" i="6"/>
  <c r="DW47" i="6" s="1"/>
  <c r="AC52" i="6"/>
  <c r="AC51" i="6" s="1"/>
  <c r="CX52" i="6"/>
  <c r="CX51" i="6" s="1"/>
  <c r="DJ52" i="6"/>
  <c r="DJ51" i="6" s="1"/>
  <c r="DJ103" i="6" s="1"/>
  <c r="AN63" i="6"/>
  <c r="DX63" i="6" s="1"/>
  <c r="DX64" i="6"/>
  <c r="BE67" i="6"/>
  <c r="BE66" i="6" s="1"/>
  <c r="L75" i="6"/>
  <c r="Z75" i="6"/>
  <c r="Z67" i="6" s="1"/>
  <c r="Z66" i="6" s="1"/>
  <c r="CL67" i="6"/>
  <c r="CL66" i="6" s="1"/>
  <c r="CL103" i="6" s="1"/>
  <c r="AA71" i="6"/>
  <c r="AA67" i="6" s="1"/>
  <c r="AA66" i="6" s="1"/>
  <c r="M75" i="6"/>
  <c r="CL83" i="6"/>
  <c r="DY92" i="6"/>
  <c r="DZ95" i="6"/>
  <c r="BI94" i="6"/>
  <c r="DW97" i="6"/>
  <c r="DW102" i="6"/>
  <c r="DW62" i="6"/>
  <c r="DW73" i="6"/>
  <c r="N75" i="6"/>
  <c r="N67" i="6" s="1"/>
  <c r="N66" i="6" s="1"/>
  <c r="E83" i="6"/>
  <c r="DY83" i="6" s="1"/>
  <c r="DZ92" i="6"/>
  <c r="DW70" i="6"/>
  <c r="DZ79" i="6"/>
  <c r="DZ88" i="6"/>
  <c r="DX46" i="6"/>
  <c r="AJ52" i="6"/>
  <c r="AJ51" i="6" s="1"/>
  <c r="DS67" i="6"/>
  <c r="DS66" i="6" s="1"/>
  <c r="DZ69" i="6"/>
  <c r="I67" i="6"/>
  <c r="I66" i="6" s="1"/>
  <c r="DX76" i="6"/>
  <c r="DX78" i="6"/>
  <c r="CI83" i="6"/>
  <c r="CI67" i="6" s="1"/>
  <c r="CI66" i="6" s="1"/>
  <c r="DW89" i="6"/>
  <c r="BG94" i="6"/>
  <c r="DW100" i="6"/>
  <c r="C99" i="6"/>
  <c r="DW50" i="6"/>
  <c r="DW56" i="6"/>
  <c r="DW58" i="6"/>
  <c r="C63" i="6"/>
  <c r="DW63" i="6" s="1"/>
  <c r="DW64" i="6"/>
  <c r="DX65" i="6"/>
  <c r="AO67" i="6"/>
  <c r="AO66" i="6" s="1"/>
  <c r="DW93" i="6"/>
  <c r="BH94" i="6"/>
  <c r="DX98" i="6"/>
  <c r="DX100" i="6"/>
  <c r="DS99" i="6"/>
  <c r="AI94" i="6"/>
  <c r="DW94" i="6" s="1"/>
  <c r="BU94" i="6"/>
  <c r="BU67" i="6" s="1"/>
  <c r="BU66" i="6" s="1"/>
  <c r="DY100" i="6"/>
  <c r="DQ67" i="6"/>
  <c r="DQ66" i="6" s="1"/>
  <c r="DW76" i="6"/>
  <c r="DY93" i="6"/>
  <c r="AW52" i="6"/>
  <c r="AW51" i="6" s="1"/>
  <c r="BI52" i="6"/>
  <c r="BI51" i="6" s="1"/>
  <c r="BU52" i="6"/>
  <c r="BU51" i="6" s="1"/>
  <c r="CG52" i="6"/>
  <c r="CG51" i="6" s="1"/>
  <c r="CS52" i="6"/>
  <c r="CS51" i="6" s="1"/>
  <c r="DE52" i="6"/>
  <c r="DE51" i="6" s="1"/>
  <c r="DQ52" i="6"/>
  <c r="DQ51" i="6" s="1"/>
  <c r="CF67" i="6"/>
  <c r="CF66" i="6" s="1"/>
  <c r="CR67" i="6"/>
  <c r="CR66" i="6" s="1"/>
  <c r="DR67" i="6"/>
  <c r="DR66" i="6" s="1"/>
  <c r="E68" i="6"/>
  <c r="DX69" i="6"/>
  <c r="AE71" i="6"/>
  <c r="AE67" i="6" s="1"/>
  <c r="AE66" i="6" s="1"/>
  <c r="DZ93" i="6"/>
  <c r="C83" i="6"/>
  <c r="G103" i="6" l="1"/>
  <c r="DX67" i="6"/>
  <c r="D66" i="6"/>
  <c r="DX66" i="6" s="1"/>
  <c r="B95" i="6"/>
  <c r="EA47" i="6"/>
  <c r="B48" i="6"/>
  <c r="CG103" i="6"/>
  <c r="AW103" i="6"/>
  <c r="BH22" i="6"/>
  <c r="BH103" i="6" s="1"/>
  <c r="DX68" i="6"/>
  <c r="DE103" i="6"/>
  <c r="DY42" i="6"/>
  <c r="E41" i="6"/>
  <c r="DY41" i="6" s="1"/>
  <c r="E51" i="6"/>
  <c r="DY51" i="6" s="1"/>
  <c r="DY52" i="6"/>
  <c r="N103" i="6"/>
  <c r="DZ75" i="6"/>
  <c r="EA17" i="6"/>
  <c r="B18" i="6"/>
  <c r="AC103" i="6"/>
  <c r="BN103" i="6"/>
  <c r="DZ24" i="6"/>
  <c r="F23" i="6"/>
  <c r="AK103" i="6"/>
  <c r="F67" i="6"/>
  <c r="DZ68" i="6"/>
  <c r="BD103" i="6"/>
  <c r="DD103" i="6"/>
  <c r="B64" i="6"/>
  <c r="EA63" i="6"/>
  <c r="DY94" i="6"/>
  <c r="AI67" i="6"/>
  <c r="AI66" i="6" s="1"/>
  <c r="AI103" i="6" s="1"/>
  <c r="X103" i="6"/>
  <c r="C52" i="6"/>
  <c r="DW53" i="6"/>
  <c r="DU103" i="6"/>
  <c r="Y103" i="6"/>
  <c r="F13" i="6"/>
  <c r="DZ13" i="6" s="1"/>
  <c r="DZ14" i="6"/>
  <c r="C4" i="6"/>
  <c r="DW5" i="6"/>
  <c r="AN52" i="6"/>
  <c r="AN51" i="6" s="1"/>
  <c r="AN103" i="6" s="1"/>
  <c r="L103" i="6"/>
  <c r="AV67" i="6"/>
  <c r="AV66" i="6" s="1"/>
  <c r="AV103" i="6" s="1"/>
  <c r="F4" i="6"/>
  <c r="DZ5" i="6"/>
  <c r="DW83" i="6"/>
  <c r="AY103" i="6"/>
  <c r="DZ42" i="6"/>
  <c r="F41" i="6"/>
  <c r="DZ41" i="6" s="1"/>
  <c r="BE103" i="6"/>
  <c r="DX24" i="6"/>
  <c r="D23" i="6"/>
  <c r="DW24" i="6"/>
  <c r="C23" i="6"/>
  <c r="E67" i="6"/>
  <c r="DY68" i="6"/>
  <c r="DW71" i="6"/>
  <c r="DY71" i="6"/>
  <c r="DR103" i="6"/>
  <c r="DW68" i="6"/>
  <c r="C67" i="6"/>
  <c r="DX75" i="6"/>
  <c r="AP103" i="6"/>
  <c r="DX17" i="6"/>
  <c r="D13" i="6"/>
  <c r="DX13" i="6" s="1"/>
  <c r="E3" i="6"/>
  <c r="DY4" i="6"/>
  <c r="CR103" i="6"/>
  <c r="B58" i="6"/>
  <c r="EA57" i="6"/>
  <c r="DX71" i="6"/>
  <c r="CF103" i="6"/>
  <c r="Z103" i="6"/>
  <c r="DZ57" i="6"/>
  <c r="B76" i="6"/>
  <c r="DW9" i="6"/>
  <c r="BS103" i="6"/>
  <c r="DW99" i="6"/>
  <c r="DX53" i="6"/>
  <c r="D52" i="6"/>
  <c r="CU103" i="6"/>
  <c r="DW42" i="6"/>
  <c r="C41" i="6"/>
  <c r="DW41" i="6" s="1"/>
  <c r="DY24" i="6"/>
  <c r="E23" i="6"/>
  <c r="DZ53" i="6"/>
  <c r="F52" i="6"/>
  <c r="CS22" i="6"/>
  <c r="CS103" i="6" s="1"/>
  <c r="CG22" i="6"/>
  <c r="DX42" i="6"/>
  <c r="D41" i="6"/>
  <c r="DX41" i="6" s="1"/>
  <c r="CA103" i="6"/>
  <c r="CI103" i="6"/>
  <c r="AE103" i="6"/>
  <c r="DF103" i="6"/>
  <c r="C13" i="6"/>
  <c r="DW13" i="6" s="1"/>
  <c r="DW14" i="6"/>
  <c r="CH103" i="6"/>
  <c r="D3" i="6"/>
  <c r="DX4" i="6"/>
  <c r="B75" i="6" l="1"/>
  <c r="EA82" i="6"/>
  <c r="DX23" i="6"/>
  <c r="D22" i="6"/>
  <c r="DX22" i="6" s="1"/>
  <c r="E22" i="6"/>
  <c r="DY22" i="6" s="1"/>
  <c r="DY23" i="6"/>
  <c r="EA5" i="6"/>
  <c r="B6" i="6"/>
  <c r="B63" i="6"/>
  <c r="EB63" i="6" s="1"/>
  <c r="EA65" i="6"/>
  <c r="C66" i="6"/>
  <c r="DW66" i="6" s="1"/>
  <c r="DW67" i="6"/>
  <c r="EA62" i="6"/>
  <c r="B57" i="6"/>
  <c r="EB57" i="6" s="1"/>
  <c r="F3" i="6"/>
  <c r="DZ4" i="6"/>
  <c r="F22" i="6"/>
  <c r="DZ22" i="6" s="1"/>
  <c r="DZ23" i="6"/>
  <c r="F51" i="6"/>
  <c r="DZ51" i="6" s="1"/>
  <c r="DZ52" i="6"/>
  <c r="C3" i="6"/>
  <c r="DW4" i="6"/>
  <c r="EA42" i="6"/>
  <c r="B43" i="6"/>
  <c r="B54" i="6"/>
  <c r="EA53" i="6"/>
  <c r="DW52" i="6"/>
  <c r="C51" i="6"/>
  <c r="DW51" i="6" s="1"/>
  <c r="EA99" i="6"/>
  <c r="B100" i="6"/>
  <c r="DY67" i="6"/>
  <c r="E66" i="6"/>
  <c r="DY66" i="6" s="1"/>
  <c r="DX3" i="6"/>
  <c r="B25" i="6"/>
  <c r="EA24" i="6"/>
  <c r="EA21" i="6"/>
  <c r="B17" i="6"/>
  <c r="EB17" i="6" s="1"/>
  <c r="EA14" i="6"/>
  <c r="B15" i="6"/>
  <c r="EA50" i="6"/>
  <c r="B47" i="6"/>
  <c r="EB47" i="6" s="1"/>
  <c r="EA68" i="6"/>
  <c r="B69" i="6"/>
  <c r="DX52" i="6"/>
  <c r="D51" i="6"/>
  <c r="DX51" i="6" s="1"/>
  <c r="B84" i="6"/>
  <c r="EA83" i="6"/>
  <c r="DZ67" i="6"/>
  <c r="F66" i="6"/>
  <c r="DZ66" i="6" s="1"/>
  <c r="B94" i="6"/>
  <c r="EA98" i="6"/>
  <c r="B72" i="6"/>
  <c r="EA71" i="6"/>
  <c r="B10" i="6"/>
  <c r="EA9" i="6"/>
  <c r="DY3" i="6"/>
  <c r="DW23" i="6"/>
  <c r="C22" i="6"/>
  <c r="DW22" i="6" s="1"/>
  <c r="EA94" i="6" l="1"/>
  <c r="EB94" i="6"/>
  <c r="C103" i="6"/>
  <c r="DW103" i="6" s="1"/>
  <c r="DW3" i="6"/>
  <c r="B14" i="6"/>
  <c r="EA16" i="6"/>
  <c r="EA8" i="6"/>
  <c r="B5" i="6"/>
  <c r="F103" i="6"/>
  <c r="DZ103" i="6" s="1"/>
  <c r="DZ3" i="6"/>
  <c r="EA38" i="6"/>
  <c r="B24" i="6"/>
  <c r="EA56" i="6"/>
  <c r="B53" i="6"/>
  <c r="EA46" i="6"/>
  <c r="B42" i="6"/>
  <c r="EA102" i="6"/>
  <c r="B99" i="6"/>
  <c r="EB99" i="6" s="1"/>
  <c r="E103" i="6"/>
  <c r="DY103" i="6" s="1"/>
  <c r="EA93" i="6"/>
  <c r="B83" i="6"/>
  <c r="EB83" i="6" s="1"/>
  <c r="B9" i="6"/>
  <c r="EB9" i="6" s="1"/>
  <c r="EA12" i="6"/>
  <c r="EA70" i="6"/>
  <c r="B68" i="6"/>
  <c r="EA74" i="6"/>
  <c r="B71" i="6"/>
  <c r="EB71" i="6" s="1"/>
  <c r="D103" i="6"/>
  <c r="DX103" i="6" s="1"/>
  <c r="EA75" i="6"/>
  <c r="EB75" i="6"/>
  <c r="B23" i="6" l="1"/>
  <c r="EB24" i="6"/>
  <c r="B4" i="6"/>
  <c r="EB5" i="6"/>
  <c r="B13" i="6"/>
  <c r="EB14" i="6"/>
  <c r="B52" i="6"/>
  <c r="B51" i="6" s="1"/>
  <c r="EB53" i="6"/>
  <c r="B41" i="6"/>
  <c r="EB42" i="6"/>
  <c r="B67" i="6"/>
  <c r="B66" i="6" s="1"/>
  <c r="EB68" i="6"/>
  <c r="B3" i="6" l="1"/>
  <c r="B103" i="6" s="1"/>
  <c r="EA103" i="6" s="1"/>
  <c r="B22" i="6"/>
  <c r="X2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JuanCarlosJr</author>
    <author/>
  </authors>
  <commentList>
    <comment ref="A1" authorId="0" shapeId="0" xr:uid="{E18DDC7C-8DEE-4F32-B8C8-D2A951D0792A}">
      <text>
        <r>
          <rPr>
            <b/>
            <sz val="9"/>
            <color indexed="81"/>
            <rFont val="Tahoma"/>
            <family val="2"/>
          </rPr>
          <t>Usuario:</t>
        </r>
        <r>
          <rPr>
            <sz val="9"/>
            <color indexed="81"/>
            <rFont val="Tahoma"/>
            <family val="2"/>
          </rPr>
          <t xml:space="preserve">
Corresponde a la estructura reportada en el Anexo 1. Adicione tantas filas como requiera</t>
        </r>
      </text>
    </comment>
    <comment ref="C1" authorId="0" shapeId="0" xr:uid="{D36E2111-F245-4F03-8728-5E6FFE18B760}">
      <text>
        <r>
          <rPr>
            <b/>
            <sz val="9"/>
            <color indexed="81"/>
            <rFont val="Tahoma"/>
            <family val="2"/>
          </rPr>
          <t xml:space="preserve">Usuario: </t>
        </r>
        <r>
          <rPr>
            <sz val="9"/>
            <color indexed="81"/>
            <rFont val="Tahoma"/>
            <family val="2"/>
          </rPr>
          <t>Corresponde a las fuentes de financiación que de acuerdo al plan financiero destinan recursos para INVERSIÓN. 
ADICIONE tantas columnas como requiera.</t>
        </r>
        <r>
          <rPr>
            <sz val="9"/>
            <color indexed="81"/>
            <rFont val="Tahoma"/>
            <family val="2"/>
          </rPr>
          <t xml:space="preserve">
</t>
        </r>
      </text>
    </comment>
    <comment ref="DW65" authorId="1" shapeId="0" xr:uid="{ED0DB3B1-340E-4A40-A805-BE874033A46C}">
      <text>
        <r>
          <rPr>
            <b/>
            <sz val="9"/>
            <color indexed="81"/>
            <rFont val="Tahoma"/>
            <family val="2"/>
          </rPr>
          <t>JuanCarlosJr:</t>
        </r>
        <r>
          <rPr>
            <sz val="9"/>
            <color indexed="81"/>
            <rFont val="Tahoma"/>
            <family val="2"/>
          </rPr>
          <t xml:space="preserve">
Proyecto: 
1 - Manetnimiento Perija 1
2 - Perija 1</t>
        </r>
      </text>
    </comment>
    <comment ref="A70" authorId="2" shapeId="0" xr:uid="{666EF6C7-EBA4-4CB4-B397-DB13879FBFA9}">
      <text>
        <r>
          <rPr>
            <sz val="11"/>
            <color theme="1"/>
            <rFont val="Arial"/>
            <family val="2"/>
          </rPr>
          <t>Anteriormente 8.1.1. Se ajusta nombre de la actividad dividiendo acciones. De esta manera se reporto en informe 2021, revisar.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JuanCarlosJr</author>
    <author/>
  </authors>
  <commentList>
    <comment ref="A1" authorId="0" shapeId="0" xr:uid="{92C26751-22FB-4D0F-B669-DB452E70ABB2}">
      <text>
        <r>
          <rPr>
            <b/>
            <sz val="9"/>
            <color indexed="81"/>
            <rFont val="Tahoma"/>
            <family val="2"/>
          </rPr>
          <t>Usuario:</t>
        </r>
        <r>
          <rPr>
            <sz val="9"/>
            <color indexed="81"/>
            <rFont val="Tahoma"/>
            <family val="2"/>
          </rPr>
          <t xml:space="preserve">
Corresponde a la estructura reportada en el Anexo 1. Adicione tantas filas como requiera</t>
        </r>
      </text>
    </comment>
    <comment ref="C1" authorId="0" shapeId="0" xr:uid="{43B726CA-9CEF-4D69-9709-F374EFBAD77A}">
      <text>
        <r>
          <rPr>
            <b/>
            <sz val="9"/>
            <color indexed="81"/>
            <rFont val="Tahoma"/>
            <family val="2"/>
          </rPr>
          <t xml:space="preserve">Usuario: </t>
        </r>
        <r>
          <rPr>
            <sz val="9"/>
            <color indexed="81"/>
            <rFont val="Tahoma"/>
            <family val="2"/>
          </rPr>
          <t>Corresponde a las fuentes de financiación que de acuerdo al plan financiero destinan recursos para INVERSIÓN. 
ADICIONE tantas columnas como requiera.</t>
        </r>
        <r>
          <rPr>
            <sz val="9"/>
            <color indexed="81"/>
            <rFont val="Tahoma"/>
            <family val="2"/>
          </rPr>
          <t xml:space="preserve">
</t>
        </r>
      </text>
    </comment>
    <comment ref="W20" authorId="1" shapeId="0" xr:uid="{9D7BB560-81F5-4CCA-BAAF-EEDAFD540AC7}">
      <text>
        <r>
          <rPr>
            <b/>
            <sz val="9"/>
            <color indexed="81"/>
            <rFont val="Tahoma"/>
            <family val="2"/>
          </rPr>
          <t>JuanCarlosJr:</t>
        </r>
        <r>
          <rPr>
            <sz val="9"/>
            <color indexed="81"/>
            <rFont val="Tahoma"/>
            <family val="2"/>
          </rPr>
          <t xml:space="preserve">
Proyecto ESTUFAS 2023</t>
        </r>
      </text>
    </comment>
    <comment ref="W26" authorId="1" shapeId="0" xr:uid="{324C6B6D-50EA-4364-B425-4A7CFD1EC065}">
      <text>
        <r>
          <rPr>
            <b/>
            <sz val="9"/>
            <color indexed="81"/>
            <rFont val="Tahoma"/>
            <family val="2"/>
          </rPr>
          <t>JuanCarlosJr:</t>
        </r>
        <r>
          <rPr>
            <sz val="9"/>
            <color indexed="81"/>
            <rFont val="Tahoma"/>
            <family val="2"/>
          </rPr>
          <t xml:space="preserve">
Proyecto SGR
1 - Rio Cesar
2 - POMCA Rio Medio Cesae</t>
        </r>
      </text>
    </comment>
    <comment ref="BG48" authorId="1" shapeId="0" xr:uid="{D46E3083-5784-4B46-9BEB-C91349E3D4E9}">
      <text>
        <r>
          <rPr>
            <b/>
            <sz val="9"/>
            <color indexed="81"/>
            <rFont val="Tahoma"/>
            <family val="2"/>
          </rPr>
          <t>JuanCarlosJr:</t>
        </r>
        <r>
          <rPr>
            <sz val="9"/>
            <color indexed="81"/>
            <rFont val="Tahoma"/>
            <family val="2"/>
          </rPr>
          <t xml:space="preserve">
Proyecto
1 - SANTA ISANEL CONSULTORIA
Fuente: REGALIAS </t>
        </r>
      </text>
    </comment>
    <comment ref="BG50" authorId="1" shapeId="0" xr:uid="{C9413D47-58FC-40BC-B9F7-E9AF6B10A41A}">
      <text>
        <r>
          <rPr>
            <b/>
            <sz val="9"/>
            <color indexed="81"/>
            <rFont val="Tahoma"/>
            <family val="2"/>
          </rPr>
          <t>JuanCarlosJr:</t>
        </r>
        <r>
          <rPr>
            <sz val="9"/>
            <color indexed="81"/>
            <rFont val="Tahoma"/>
            <family val="2"/>
          </rPr>
          <t xml:space="preserve">
Proyecto
1 - RIO SAN ALBERTO
Fuente: REGALIAS </t>
        </r>
      </text>
    </comment>
    <comment ref="BG59" authorId="1" shapeId="0" xr:uid="{99CE8BB7-3209-4A7B-A4B9-26420C6A4482}">
      <text>
        <r>
          <rPr>
            <b/>
            <sz val="9"/>
            <color indexed="81"/>
            <rFont val="Tahoma"/>
            <family val="2"/>
          </rPr>
          <t>JuanCarlosJr:</t>
        </r>
        <r>
          <rPr>
            <sz val="9"/>
            <color indexed="81"/>
            <rFont val="Tahoma"/>
            <family val="2"/>
          </rPr>
          <t xml:space="preserve">
Proyecto CAVFFS
Fuente Regalias</t>
        </r>
      </text>
    </comment>
    <comment ref="BG60" authorId="1" shapeId="0" xr:uid="{F6A1650B-0E93-4A20-B771-2A950C038849}">
      <text>
        <r>
          <rPr>
            <b/>
            <sz val="9"/>
            <color indexed="81"/>
            <rFont val="Tahoma"/>
            <family val="2"/>
          </rPr>
          <t xml:space="preserve">JuanCarlosJr:
</t>
        </r>
        <r>
          <rPr>
            <sz val="9"/>
            <color indexed="81"/>
            <rFont val="Tahoma"/>
            <family val="2"/>
          </rPr>
          <t xml:space="preserve">
Proyecto:
1 - Humedales del Sur
2 - Rio Magiriaimo
3 - Parque Perija
4 - Guadua
5 - Complejo Cenagoso Zapatosa
6 - Rio Calenturitas
7 - Garupal - Diluvio
FUENTE: Regalias</t>
        </r>
      </text>
    </comment>
    <comment ref="W65" authorId="1" shapeId="0" xr:uid="{8876D9BC-185F-4A02-ABEC-6377B20BE5E3}">
      <text>
        <r>
          <rPr>
            <b/>
            <sz val="9"/>
            <color indexed="81"/>
            <rFont val="Tahoma"/>
            <family val="2"/>
          </rPr>
          <t>JuanCarlosJr:</t>
        </r>
        <r>
          <rPr>
            <sz val="9"/>
            <color indexed="81"/>
            <rFont val="Tahoma"/>
            <family val="2"/>
          </rPr>
          <t xml:space="preserve">
Proyecto: 
1 - Manetnimiento Perija 1
2 - Perija 1</t>
        </r>
      </text>
    </comment>
    <comment ref="BG65" authorId="1" shapeId="0" xr:uid="{3F2DC705-A30F-4967-A683-816EE64E9334}">
      <text>
        <r>
          <rPr>
            <b/>
            <sz val="9"/>
            <color indexed="81"/>
            <rFont val="Tahoma"/>
            <family val="2"/>
          </rPr>
          <t>JuanCarlosJr:</t>
        </r>
        <r>
          <rPr>
            <sz val="9"/>
            <color indexed="81"/>
            <rFont val="Tahoma"/>
            <family val="2"/>
          </rPr>
          <t xml:space="preserve">
Proyecto: 
1 - Manetnimiento Perija 1
2 - Perija 1</t>
        </r>
      </text>
    </comment>
    <comment ref="A70" authorId="2" shapeId="0" xr:uid="{8694AB78-2F6E-4AA7-8620-15F14E48F93C}">
      <text>
        <r>
          <rPr>
            <sz val="11"/>
            <color theme="1"/>
            <rFont val="Arial"/>
            <family val="2"/>
          </rPr>
          <t>Anteriormente 8.1.1. Se ajusta nombre de la actividad dividiendo acciones. De esta manera se reporto en informe 2021, revisar.</t>
        </r>
      </text>
    </comment>
    <comment ref="BG97" authorId="1" shapeId="0" xr:uid="{1D340DD3-5C1F-4D7A-B8C8-61C16B1A276A}">
      <text>
        <r>
          <rPr>
            <b/>
            <sz val="9"/>
            <color indexed="81"/>
            <rFont val="Tahoma"/>
            <family val="2"/>
          </rPr>
          <t>JuanCarlosJr:</t>
        </r>
        <r>
          <rPr>
            <sz val="9"/>
            <color indexed="81"/>
            <rFont val="Tahoma"/>
            <family val="2"/>
          </rPr>
          <t xml:space="preserve">
Proyecto de Regalias:
MAPA DE RUIDOS.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GESTIÓN AMBIENTAL</author>
  </authors>
  <commentList>
    <comment ref="H8" authorId="0" shapeId="0" xr:uid="{3320A5C0-D9A2-4B2C-91E1-64D1D9578899}">
      <text>
        <r>
          <rPr>
            <b/>
            <sz val="9"/>
            <color indexed="81"/>
            <rFont val="Tahoma"/>
            <family val="2"/>
          </rPr>
          <t>GESTIÓN AMBIENTAL:</t>
        </r>
        <r>
          <rPr>
            <sz val="9"/>
            <color indexed="81"/>
            <rFont val="Tahoma"/>
            <family val="2"/>
          </rPr>
          <t xml:space="preserve">
A qué lineamientos se refiere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EMH</author>
  </authors>
  <commentList>
    <comment ref="A1" authorId="0" shapeId="0" xr:uid="{00000000-0006-0000-0000-000001000000}">
      <text>
        <r>
          <rPr>
            <b/>
            <sz val="9"/>
            <color indexed="81"/>
            <rFont val="Tahoma"/>
            <family val="2"/>
          </rPr>
          <t>EMH:</t>
        </r>
        <r>
          <rPr>
            <sz val="9"/>
            <color indexed="81"/>
            <rFont val="Tahoma"/>
            <family val="2"/>
          </rPr>
          <t xml:space="preserve">
Articulada con PGAR. </t>
        </r>
      </text>
    </comment>
    <comment ref="B1" authorId="0" shapeId="0" xr:uid="{00000000-0006-0000-0000-000002000000}">
      <text>
        <r>
          <rPr>
            <b/>
            <sz val="9"/>
            <color indexed="81"/>
            <rFont val="Tahoma"/>
            <family val="2"/>
          </rPr>
          <t xml:space="preserve">EMH: </t>
        </r>
        <r>
          <rPr>
            <sz val="9"/>
            <color indexed="81"/>
            <rFont val="Tahoma"/>
            <family val="2"/>
          </rPr>
          <t>Un PAC puede tener asociadas una o más líneas estratégicas, cada una de ellas tendrá una ponderación (valor entero) y la suma de todas las ponderaciones de las líneas estratégicas debe ser 100.</t>
        </r>
      </text>
    </comment>
    <comment ref="C1" authorId="0" shapeId="0" xr:uid="{00000000-0006-0000-0000-000003000000}">
      <text>
        <r>
          <rPr>
            <b/>
            <sz val="9"/>
            <color indexed="81"/>
            <rFont val="Tahoma"/>
            <family val="2"/>
          </rPr>
          <t xml:space="preserve">EMH: </t>
        </r>
        <r>
          <rPr>
            <sz val="9"/>
            <color indexed="81"/>
            <rFont val="Tahoma"/>
            <family val="2"/>
          </rPr>
          <t xml:space="preserve">
Corresponde a los programas que se han definido para el PAC, los cuales deben estar asociados a una de las Líneas Estratégicas.
Por su parte, las líneas estratégicas puede tener asociados uno o más Programas.</t>
        </r>
      </text>
    </comment>
    <comment ref="D1" authorId="0" shapeId="0" xr:uid="{00000000-0006-0000-0000-000004000000}">
      <text>
        <r>
          <rPr>
            <b/>
            <sz val="9"/>
            <color indexed="81"/>
            <rFont val="Tahoma"/>
            <family val="2"/>
          </rPr>
          <t>EMH:</t>
        </r>
        <r>
          <rPr>
            <sz val="9"/>
            <color indexed="81"/>
            <rFont val="Tahoma"/>
            <family val="2"/>
          </rPr>
          <t xml:space="preserve">
cada programa tendrá una ponderación (valor entero) y la suma de las ponderaciones de los programas asociados a cada línea estratégica debe ser 100.</t>
        </r>
      </text>
    </comment>
    <comment ref="E1" authorId="0" shapeId="0" xr:uid="{00000000-0006-0000-0000-000005000000}">
      <text>
        <r>
          <rPr>
            <b/>
            <sz val="9"/>
            <color indexed="81"/>
            <rFont val="Tahoma"/>
            <family val="2"/>
          </rPr>
          <t xml:space="preserve">EMH: </t>
        </r>
        <r>
          <rPr>
            <sz val="9"/>
            <color indexed="81"/>
            <rFont val="Tahoma"/>
            <family val="2"/>
          </rPr>
          <t>Nombre de cada uno de los  los proyectos definidos para el PAC, los cuales deben estar asociados a uno de los programas del PAC.
Un Programa puede tener asociados uno o más Proyectos</t>
        </r>
      </text>
    </comment>
    <comment ref="F1" authorId="0" shapeId="0" xr:uid="{00000000-0006-0000-0000-000006000000}">
      <text>
        <r>
          <rPr>
            <b/>
            <sz val="9"/>
            <color indexed="81"/>
            <rFont val="Tahoma"/>
            <family val="2"/>
          </rPr>
          <t>EMH:</t>
        </r>
        <r>
          <rPr>
            <sz val="9"/>
            <color indexed="81"/>
            <rFont val="Tahoma"/>
            <family val="2"/>
          </rPr>
          <t xml:space="preserve">
Un Programa puede tener asociados uno o más Proyectos, cada proyecto tendrá una ponderación (valor entero) y la suma de las ponderaciones de los proyectos asociados a los programas debe ser 100</t>
        </r>
      </text>
    </comment>
    <comment ref="G1" authorId="0" shapeId="0" xr:uid="{00000000-0006-0000-0000-000007000000}">
      <text>
        <r>
          <rPr>
            <b/>
            <sz val="9"/>
            <color indexed="81"/>
            <rFont val="Tahoma"/>
            <family val="2"/>
          </rPr>
          <t>EMH:</t>
        </r>
        <r>
          <rPr>
            <sz val="9"/>
            <color indexed="81"/>
            <rFont val="Tahoma"/>
            <family val="2"/>
          </rPr>
          <t xml:space="preserve">
Programa de inversión Pública del sector ambiete al que aporta el proyecto del PAC.</t>
        </r>
      </text>
    </comment>
    <comment ref="H1" authorId="0" shapeId="0" xr:uid="{00000000-0006-0000-0000-000008000000}">
      <text>
        <r>
          <rPr>
            <b/>
            <sz val="9"/>
            <color indexed="81"/>
            <rFont val="Tahoma"/>
            <family val="2"/>
          </rPr>
          <t xml:space="preserve">EMH:
</t>
        </r>
        <r>
          <rPr>
            <sz val="9"/>
            <color indexed="81"/>
            <rFont val="Tahoma"/>
            <family val="2"/>
          </rPr>
          <t xml:space="preserve">Corresponde al alcance del proyecto. Debe estar relacionado con la solución a la problemática identificada.
Un Proyecto puede tener asociados uno o más Objetivos.
</t>
        </r>
      </text>
    </comment>
    <comment ref="I1" authorId="0" shapeId="0" xr:uid="{00000000-0006-0000-0000-000009000000}">
      <text>
        <r>
          <rPr>
            <b/>
            <sz val="9"/>
            <color indexed="81"/>
            <rFont val="Tahoma"/>
            <family val="2"/>
          </rPr>
          <t>EMH:</t>
        </r>
        <r>
          <rPr>
            <sz val="9"/>
            <color indexed="81"/>
            <rFont val="Tahoma"/>
            <family val="2"/>
          </rPr>
          <t xml:space="preserve">
Cada objetivo tendrá una ponderación (valor entero) y la suma de las ponderaciones de los objetivos asociados a un proyecto debe ser 100.</t>
        </r>
      </text>
    </comment>
    <comment ref="J1" authorId="0" shapeId="0" xr:uid="{00000000-0006-0000-0000-00000A000000}">
      <text>
        <r>
          <rPr>
            <b/>
            <sz val="9"/>
            <color indexed="81"/>
            <rFont val="Tahoma"/>
            <family val="2"/>
          </rPr>
          <t>EMH:</t>
        </r>
        <r>
          <rPr>
            <sz val="9"/>
            <color indexed="81"/>
            <rFont val="Tahoma"/>
            <family val="2"/>
          </rPr>
          <t xml:space="preserve">
Corresponde a las las acciones que se realizaran para dar alcance al objetivo del proyecto.
Debe haber coherencia con el producto y el indicador de la actividad.</t>
        </r>
      </text>
    </comment>
    <comment ref="K1" authorId="0" shapeId="0" xr:uid="{00000000-0006-0000-0000-00000B000000}">
      <text>
        <r>
          <rPr>
            <b/>
            <sz val="9"/>
            <color indexed="81"/>
            <rFont val="Tahoma"/>
            <family val="2"/>
          </rPr>
          <t>EMH:</t>
        </r>
        <r>
          <rPr>
            <sz val="9"/>
            <color indexed="81"/>
            <rFont val="Tahoma"/>
            <family val="2"/>
          </rPr>
          <t xml:space="preserve">
Valor en número entero.
La suma de las ponderaciones de las actividades asociadas a los objetivos debe ser 100.</t>
        </r>
      </text>
    </comment>
    <comment ref="L1" authorId="0" shapeId="0" xr:uid="{00000000-0006-0000-0000-00000C000000}">
      <text>
        <r>
          <rPr>
            <b/>
            <sz val="9"/>
            <color indexed="81"/>
            <rFont val="Tahoma"/>
            <family val="2"/>
          </rPr>
          <t xml:space="preserve">EMH: </t>
        </r>
        <r>
          <rPr>
            <sz val="9"/>
            <color indexed="81"/>
            <rFont val="Tahoma"/>
            <family val="2"/>
          </rPr>
          <t>Son los parametros definidos para hacer seguimiento al avance en la ejecución de las acciones del PAC. 
Puede ser Indicador IMG o complementario, pero solo una de las dos opciones.
Revisar y verificar que efectivamente este relacionado con la acción.
Debe ser claro, preciso y autoexplicativo.</t>
        </r>
      </text>
    </comment>
    <comment ref="M1" authorId="0" shapeId="0" xr:uid="{00000000-0006-0000-0000-00000D000000}">
      <text>
        <r>
          <rPr>
            <b/>
            <sz val="9"/>
            <color indexed="81"/>
            <rFont val="Tahoma"/>
            <family val="2"/>
          </rPr>
          <t xml:space="preserve">EMH: </t>
        </r>
        <r>
          <rPr>
            <sz val="9"/>
            <color indexed="81"/>
            <rFont val="Tahoma"/>
            <family val="2"/>
          </rPr>
          <t>Aplica si el indicador corresponde a uno de los IMG de la Resolución 667 de 2016 o la norma que la reemplace.
Seleccione de la lista desplegable la categoría. Para saber cual elegir tener en cuenta las hojas metodologias de los IMG.
En caso de no se IMG, seleccione la opción Indicador Propio</t>
        </r>
      </text>
    </comment>
    <comment ref="N1" authorId="0" shapeId="0" xr:uid="{00000000-0006-0000-0000-00000E000000}">
      <text>
        <r>
          <rPr>
            <b/>
            <sz val="9"/>
            <color indexed="81"/>
            <rFont val="Tahoma"/>
            <family val="2"/>
          </rPr>
          <t>EMH:</t>
        </r>
        <r>
          <rPr>
            <sz val="9"/>
            <color indexed="81"/>
            <rFont val="Tahoma"/>
            <family val="2"/>
          </rPr>
          <t xml:space="preserve">
Corresponde a la referencia con la cual se mide la magnitud de la meta</t>
        </r>
      </text>
    </comment>
    <comment ref="O1" authorId="0" shapeId="0" xr:uid="{00000000-0006-0000-0000-00000F000000}">
      <text>
        <r>
          <rPr>
            <b/>
            <sz val="9"/>
            <color indexed="81"/>
            <rFont val="Tahoma"/>
            <family val="2"/>
          </rPr>
          <t>EMH:</t>
        </r>
        <r>
          <rPr>
            <sz val="9"/>
            <color indexed="81"/>
            <rFont val="Tahoma"/>
            <family val="2"/>
          </rPr>
          <t xml:space="preserve">
Valor definido para cumplir en cada anualidad</t>
        </r>
      </text>
    </comment>
    <comment ref="T1" authorId="0" shapeId="0" xr:uid="{00000000-0006-0000-0000-000010000000}">
      <text>
        <r>
          <rPr>
            <b/>
            <sz val="9"/>
            <color indexed="81"/>
            <rFont val="Tahoma"/>
            <family val="2"/>
          </rPr>
          <t>EMH:</t>
        </r>
        <r>
          <rPr>
            <sz val="9"/>
            <color indexed="81"/>
            <rFont val="Tahoma"/>
            <family val="2"/>
          </rPr>
          <t xml:space="preserve">
Corresponde a los recursos presupuestados para la ejecución de la acción.
Solo pueden tener asignación de recursos las actividades que tienen meta en la respectiva anualidad.</t>
        </r>
      </text>
    </comment>
    <comment ref="Y1" authorId="0" shapeId="0" xr:uid="{00000000-0006-0000-0000-000011000000}">
      <text>
        <r>
          <rPr>
            <b/>
            <sz val="9"/>
            <color indexed="81"/>
            <rFont val="Tahoma"/>
            <family val="2"/>
          </rPr>
          <t>EMH:</t>
        </r>
        <r>
          <rPr>
            <sz val="9"/>
            <color indexed="81"/>
            <rFont val="Tahoma"/>
            <family val="2"/>
          </rPr>
          <t xml:space="preserve">
Aplica si la actividad tiene un proceso de georeferenciación asociado. 
Seleccione la opción de representación (Línea, polígono o punto)</t>
        </r>
      </text>
    </comment>
    <comment ref="Z1" authorId="0" shapeId="0" xr:uid="{00000000-0006-0000-0000-000012000000}">
      <text>
        <r>
          <rPr>
            <b/>
            <sz val="9"/>
            <color indexed="81"/>
            <rFont val="Tahoma"/>
            <family val="2"/>
          </rPr>
          <t xml:space="preserve">EMH: </t>
        </r>
        <r>
          <rPr>
            <sz val="9"/>
            <color indexed="81"/>
            <rFont val="Tahoma"/>
            <family val="2"/>
          </rPr>
          <t>Seleccione del listado desplegable el producto asociado al programa de inversión al cual se encuentra relacionado el proyecto del PAC, y al cual le aporta con la ejecución de las actividades del proyecto.
En  caso de no estar relacionado con un programa nacional o no encontrarse en la lista el producto, se debe escribir el producto propio que defina la CAR en la celda correspondiente.
Los productos se entienden como los bienes o servicios que se generan y entregan para apoyar la solución a la problemática.</t>
        </r>
      </text>
    </comment>
    <comment ref="AA1" authorId="0" shapeId="0" xr:uid="{00000000-0006-0000-0000-000013000000}">
      <text>
        <r>
          <rPr>
            <b/>
            <sz val="9"/>
            <color indexed="81"/>
            <rFont val="Tahoma"/>
            <family val="2"/>
          </rPr>
          <t>EMH:</t>
        </r>
        <r>
          <rPr>
            <sz val="9"/>
            <color indexed="81"/>
            <rFont val="Tahoma"/>
            <family val="2"/>
          </rPr>
          <t xml:space="preserve">
Este indicador depende del producto del programa de inversión seleccionado (lista desplegable)
En caso de haber definido un producto propio, se deben seleccionar la opción No aplica.</t>
        </r>
      </text>
    </comment>
    <comment ref="AB1" authorId="0" shapeId="0" xr:uid="{00000000-0006-0000-0000-000014000000}">
      <text>
        <r>
          <rPr>
            <b/>
            <sz val="9"/>
            <color indexed="81"/>
            <rFont val="Tahoma"/>
            <family val="2"/>
          </rPr>
          <t>EMH:</t>
        </r>
        <r>
          <rPr>
            <sz val="9"/>
            <color indexed="81"/>
            <rFont val="Tahoma"/>
            <family val="2"/>
          </rPr>
          <t xml:space="preserve">
Seleccione de la lista desplegable el Indicador  ODS al que aporta la actividad</t>
        </r>
      </text>
    </comment>
    <comment ref="AC1" authorId="0" shapeId="0" xr:uid="{00000000-0006-0000-0000-000015000000}">
      <text>
        <r>
          <rPr>
            <b/>
            <sz val="9"/>
            <color indexed="81"/>
            <rFont val="Tahoma"/>
            <family val="2"/>
          </rPr>
          <t>EMH:</t>
        </r>
        <r>
          <rPr>
            <sz val="9"/>
            <color indexed="81"/>
            <rFont val="Tahoma"/>
            <family val="2"/>
          </rPr>
          <t xml:space="preserve">
Seleccione la politica nacional ambiental a la que aporta el producto</t>
        </r>
      </text>
    </comment>
    <comment ref="AD1" authorId="0" shapeId="0" xr:uid="{00000000-0006-0000-0000-000016000000}">
      <text>
        <r>
          <rPr>
            <b/>
            <sz val="9"/>
            <color indexed="81"/>
            <rFont val="Tahoma"/>
            <family val="2"/>
          </rPr>
          <t>EMH:</t>
        </r>
        <r>
          <rPr>
            <sz val="9"/>
            <color indexed="81"/>
            <rFont val="Tahoma"/>
            <family val="2"/>
          </rPr>
          <t xml:space="preserve">
seleccione el grupo al que aporta la actividad según la Clasificación de actividades ambientales</t>
        </r>
      </text>
    </comment>
    <comment ref="AE1" authorId="0" shapeId="0" xr:uid="{00000000-0006-0000-0000-000017000000}">
      <text>
        <r>
          <rPr>
            <b/>
            <sz val="9"/>
            <color indexed="81"/>
            <rFont val="Tahoma"/>
            <family val="2"/>
          </rPr>
          <t>EMH:</t>
        </r>
        <r>
          <rPr>
            <sz val="9"/>
            <color indexed="81"/>
            <rFont val="Tahoma"/>
            <family val="2"/>
          </rPr>
          <t xml:space="preserve">
Dependiente de la categoria OCDE seleccionada</t>
        </r>
      </text>
    </comment>
    <comment ref="AF1" authorId="0" shapeId="0" xr:uid="{00000000-0006-0000-0000-000018000000}">
      <text>
        <r>
          <rPr>
            <b/>
            <sz val="9"/>
            <color indexed="81"/>
            <rFont val="Tahoma"/>
            <family val="2"/>
          </rPr>
          <t>EMH:</t>
        </r>
        <r>
          <rPr>
            <sz val="9"/>
            <color indexed="81"/>
            <rFont val="Tahoma"/>
            <family val="2"/>
          </rPr>
          <t xml:space="preserve">
si la actividad responde a una sentencia, indique cual</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EMH</author>
  </authors>
  <commentList>
    <comment ref="E1" authorId="0" shapeId="0" xr:uid="{00000000-0006-0000-0100-000001000000}">
      <text>
        <r>
          <rPr>
            <b/>
            <sz val="9"/>
            <color indexed="81"/>
            <rFont val="Tahoma"/>
            <family val="2"/>
          </rPr>
          <t>EMH:</t>
        </r>
        <r>
          <rPr>
            <sz val="9"/>
            <color indexed="81"/>
            <rFont val="Tahoma"/>
            <family val="2"/>
          </rPr>
          <t xml:space="preserve">
Asociado al Proyecto del PAC</t>
        </r>
      </text>
    </comment>
    <comment ref="O1" authorId="0" shapeId="0" xr:uid="{00000000-0006-0000-0100-000002000000}">
      <text>
        <r>
          <rPr>
            <b/>
            <sz val="9"/>
            <color indexed="81"/>
            <rFont val="Tahoma"/>
            <family val="2"/>
          </rPr>
          <t>EMH:</t>
        </r>
        <r>
          <rPr>
            <sz val="9"/>
            <color indexed="81"/>
            <rFont val="Tahoma"/>
            <family val="2"/>
          </rPr>
          <t xml:space="preserve">
Asociado al Proyecto del PAC</t>
        </r>
      </text>
    </comment>
    <comment ref="B3" authorId="0" shapeId="0" xr:uid="{00000000-0006-0000-0100-000003000000}">
      <text>
        <r>
          <rPr>
            <b/>
            <sz val="9"/>
            <color indexed="81"/>
            <rFont val="Tahoma"/>
            <family val="2"/>
          </rPr>
          <t>EMH:</t>
        </r>
        <r>
          <rPr>
            <sz val="9"/>
            <color indexed="81"/>
            <rFont val="Tahoma"/>
            <family val="2"/>
          </rPr>
          <t xml:space="preserve">
Asociado al Proyecto del PAC</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200-000001000000}">
      <text>
        <r>
          <rPr>
            <sz val="11"/>
            <color theme="1"/>
            <rFont val="Arial"/>
            <family val="2"/>
          </rPr>
          <t>Personal:
indicator_ods_id</t>
        </r>
      </text>
    </comment>
    <comment ref="H2" authorId="0" shapeId="0" xr:uid="{00000000-0006-0000-0200-000002000000}">
      <text>
        <r>
          <rPr>
            <sz val="11"/>
            <color theme="1"/>
            <rFont val="Arial"/>
            <family val="2"/>
          </rPr>
          <t>national_policy_id
	-Personal</t>
        </r>
      </text>
    </comment>
    <comment ref="N2" authorId="0" shapeId="0" xr:uid="{00000000-0006-0000-0200-000003000000}">
      <text>
        <r>
          <rPr>
            <sz val="11"/>
            <color theme="1"/>
            <rFont val="Arial"/>
            <family val="2"/>
          </rPr>
          <t>ocde_indicator_id
	-Personal</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300-000001000000}">
      <text>
        <r>
          <rPr>
            <sz val="11"/>
            <color theme="1"/>
            <rFont val="Arial"/>
            <family val="2"/>
          </rPr>
          <t>unit_goal
	-Personal</t>
        </r>
      </text>
    </comment>
    <comment ref="G2" authorId="0" shapeId="0" xr:uid="{00000000-0006-0000-0300-000002000000}">
      <text>
        <r>
          <rPr>
            <sz val="11"/>
            <color theme="1"/>
            <rFont val="Arial"/>
            <family val="2"/>
          </rPr>
          <t>default_indicator
	-Personal</t>
        </r>
      </text>
    </comment>
  </commentList>
</comments>
</file>

<file path=xl/sharedStrings.xml><?xml version="1.0" encoding="utf-8"?>
<sst xmlns="http://schemas.openxmlformats.org/spreadsheetml/2006/main" count="9904" uniqueCount="2170">
  <si>
    <t>LINEA ESTRATÉGICA PGAR</t>
  </si>
  <si>
    <t>PONDERACIÓN (%)</t>
  </si>
  <si>
    <t>PROGRAMA PAC</t>
  </si>
  <si>
    <t>PROYECTO</t>
  </si>
  <si>
    <t>PROGRAMA INVERSIÓN PÚBLICA (PIP) SECTOR AMBIENTE</t>
  </si>
  <si>
    <t>OBJETIVO</t>
  </si>
  <si>
    <t>PONDERACIÓN %</t>
  </si>
  <si>
    <t>ACTIVIDAD</t>
  </si>
  <si>
    <t>INDICADOR (IMG/COMPLEMENTARIO)</t>
  </si>
  <si>
    <t>CATEGORIA/ TEMATICA</t>
  </si>
  <si>
    <t>UNIDAD DE MEDIDA</t>
  </si>
  <si>
    <t>META</t>
  </si>
  <si>
    <t>RECURSOS</t>
  </si>
  <si>
    <t>GEOMETRIA DE LA ACTIVIDAD</t>
  </si>
  <si>
    <t>PRODUCTO</t>
  </si>
  <si>
    <t>INDICADOR PIP</t>
  </si>
  <si>
    <t>INDICADOR ODS</t>
  </si>
  <si>
    <t>POLITICA NACIONAL AMBIENTAL</t>
  </si>
  <si>
    <t>CATEGORÍA OCDE</t>
  </si>
  <si>
    <t>SUBCATEGORIA OCDE</t>
  </si>
  <si>
    <t>SENTENCIA</t>
  </si>
  <si>
    <t>EJE TRANSFORMADOR PND 2022-2026</t>
  </si>
  <si>
    <t xml:space="preserve">CATALIZADOR
PND 2022-2026 </t>
  </si>
  <si>
    <t>META PRIORIZADA PND 2022 - 2026</t>
  </si>
  <si>
    <t>TOTAL</t>
  </si>
  <si>
    <t>LINEA ESTRATEGICA 4. 
GESTIÓN PARA LA PRODUCCIÓN SOSTENIBLE</t>
  </si>
  <si>
    <t>PROGRAMA 1. (3201) FORTALECIMIENTO DEL DESEMPEÑO AMBIENTAL DE LOS SECTORES PRODUCTIVOS</t>
  </si>
  <si>
    <t>Proyecto 1.1. (3201.01) 
Gestión e implementación de estrategias para la recuperación y conservación de la flora y fauna en el Departamento del Cesar.</t>
  </si>
  <si>
    <t>3201 Fortalecimiento del desempeño ambiental de los sectores productivos</t>
  </si>
  <si>
    <t>Gestionar e implementar las estrategias necesarias para la recuperación y conservación de la flora y fauna en el Departamento del Cesar.</t>
  </si>
  <si>
    <t>Act. 1.1.1. (3201.01.03) Gestión de sistemas bajo esquemas de PSA e incentivos a la conservación: 
Fortalecimiento de capacidades (instrumentación jurídica, gestión y articulación institucional, evaluación y seguimiento, y sostenibilidad financiera.
Implementación del banco de proyectos de PSA.
Dinamización el Registro Único de Ecosistemas y Áreas Ambientales (REAA).</t>
  </si>
  <si>
    <t>Areas bajo esquemas de PSA e incentivos a la conservación</t>
  </si>
  <si>
    <t>Seguimiento a los planes de acción y de mejora</t>
  </si>
  <si>
    <t>Hectáreas</t>
  </si>
  <si>
    <t>No Aplica</t>
  </si>
  <si>
    <t>3201017 Servicio de evaluación y seguimiento de permisos y trámites ambientales</t>
  </si>
  <si>
    <t>Política Nacional Producción  y Consumo Sostenible</t>
  </si>
  <si>
    <t>1 CAPA</t>
  </si>
  <si>
    <t>CAPA-9) Otras actividades de protección del medio ambiente</t>
  </si>
  <si>
    <t>Transformación productiva, internacionalización y acción climática.</t>
  </si>
  <si>
    <t>Programa de conservación de la naturaleza y su restauración.</t>
  </si>
  <si>
    <t>Áreas bajo esquemas de Pagos por Servicios Ambientales (PSA) e incentivos a la conservación</t>
  </si>
  <si>
    <t xml:space="preserve">Act. 1.1.2 (3201.01.04) Implementación de estrategia enfocada a la bioeconomía para la sostenibilidad productiva en el uso de los recursos naturales para la conservación de   ecosistemas estratégicos priorizados en acuerdos de mesas subregionales. En armonía con el proyecto 1.2  </t>
  </si>
  <si>
    <t>Número</t>
  </si>
  <si>
    <t>3201004 Servicio de asistencia técnica en el marco de la formulación e implementación de proyectos demostrativos para la reducción de impactos ambientales de la minería</t>
  </si>
  <si>
    <t>Proporción de especies vulnerables</t>
  </si>
  <si>
    <t>Modelos de bioeconomía basada en el conocimiento y la innovación.</t>
  </si>
  <si>
    <t>Proyectos de investigación aplicada en bioeconomía para la transformación productiva</t>
  </si>
  <si>
    <t xml:space="preserve">Act. 1.1.3 (3201.01.07). Fortalecimiento   de las ventanillas de negocios verdes y articulación con los incentivos existentes. (incluye nuevos incentivos concertaos en mesas subregionales. 2024) </t>
  </si>
  <si>
    <t>Negocios verdes apoyados</t>
  </si>
  <si>
    <t>Verificación de negocios verdes</t>
  </si>
  <si>
    <t>Punto</t>
  </si>
  <si>
    <t>3201007 Servicio de asistencia técnica para la incorporación de varibales ambientales en la planificación sectorial</t>
  </si>
  <si>
    <t>Negocios verdes verificados</t>
  </si>
  <si>
    <t>Proyecto1.2 (3201.03). 
Gestión y apoyo regional a la implementación de la estrategia nacional de Economía circular y economía ambiental para la producción sostenible, articulado a las apuestas del Proyecto 2.1</t>
  </si>
  <si>
    <t>Gestionar el apoyo regional a la implementación de la estrategia nacional de economía circular y economía ambiental para la producción sostenible, articulado a las apuestas del proyecto 2.1</t>
  </si>
  <si>
    <t>Acciones coordinadas</t>
  </si>
  <si>
    <t>Indicador Propio/ Complementario</t>
  </si>
  <si>
    <t>3201001 Documentos de política para el fortalecimiento del desempeño ambiental de los sectores productivos</t>
  </si>
  <si>
    <t>Financiamiento para la acción climática, la reindustrialización y el desarrollo sostenible.</t>
  </si>
  <si>
    <t xml:space="preserve">Act. 1.2.2 (3201.003): Servicio de asistencia técnica para la consolidación de negocios verdes.
Promover modelos de negocios con enfoque en economía circular a través de proyectos de cadenas de suministros circulares, plataformas colaborativas, modelos para extender la vida útil de los materiales, responsabilidad extendida del productor, entre otros, incorporando habilitadores como incentivos económicos y no económicos, gobernanza, financiamiento, empleos verdes e innovación tecnológica. </t>
  </si>
  <si>
    <t>Formulacion planes de acción para la ejecución del PNRNV</t>
  </si>
  <si>
    <t>3201003 Servicio de asistencia técnica para la consolidación de negocios verdes</t>
  </si>
  <si>
    <t>PROGRAMA  2 (3206). GESTIÓN DEL CAMBIO CLIMÁTICO PARA UN DESARROLLO BAJO EN CARBONO Y RESILIENTE AL CLIMA</t>
  </si>
  <si>
    <t xml:space="preserve">Proyecto 2.1 (3206.03)
Servicio de apoyo técnico para la implementación de acciones de mitigación y adaptación al cambio climático, a través de la promoción de alternativas para la eficiencia del sector energético en el Cesar, En armonía sistémica con la apuesta del PROGRAMA 1 </t>
  </si>
  <si>
    <t>3206 Gestión del cambio climático para un desarrollo bajo en carbono y resiliente al clima</t>
  </si>
  <si>
    <t xml:space="preserve">Apoyar técnicamente para la implementación de acciones de mitigación y adaptación al cambio climático, a través de la promoción de alternativas para la eficiencia del sector energético en el Cesar, En armonía sistémica con la apuesta del PROGRAMA 1 </t>
  </si>
  <si>
    <t xml:space="preserve">Act. 2.1.1 (3206.003.02). Documentos técnicos de propuestas de acciones de mitigación y adaptación al cambio climático en función del cumplimiento de metas y compromisos de mitigación y de adaptación diseñados. (Implementación de las audiencias energética, según competencia de vigilancia ambiental).  
Incluye control ambiental al uso de los RN y uso racional de las Energías).   
Gestión ante los reguladores de los sectores agua y energía (CRA y CREG) para promover el URE y la vinculación a la gestión ambiental. </t>
  </si>
  <si>
    <t>Documentos técnicos de propuestas de acciones de mitigación y adaptación al cambio climático en función del cumplimiento de metas y compromisos de mitigación y de adaptación diseñados.</t>
  </si>
  <si>
    <t>3206002 Documentos de lineamientos técnicos para la gestión del cambio climático y un desarrollo bajo en carbono y resiliente al clima</t>
  </si>
  <si>
    <t>Departamentos con planes integrales (adaptación y mitigación) frente al cambio climático</t>
  </si>
  <si>
    <t>Ordenamiento territorial alrededor del agua y justicia ambiental</t>
  </si>
  <si>
    <t xml:space="preserve">Act. 2.1.2. (3206.003.00) Pilotos con acciones de mitigación y adaptación al cambio climático desarrollados incluye, a formulación e implementación de intervenciones locales orientadas a reducir las emisiones de GEI, aumento de sumideros de carbono, reducción de la vulnerabilidad, y aumento de la resiliencia a la variabilidad y al cambio climático., apoyada con el proyecto 6.2 (educación ambiental).   </t>
  </si>
  <si>
    <t>Número de estrategias y/o proyectos del PIGCC, implementados o promovidos</t>
  </si>
  <si>
    <t>Fortalecer los sistemas de información que perrmiten generar conocimiento del cambio climático y sus efectos a nivel regional y local</t>
  </si>
  <si>
    <t>3206008 Servicio de educación formal en gestión del cambio climático para un desarrollo bajo en carbono y resiliente al clima</t>
  </si>
  <si>
    <t>Reducción de emisiones totales de gases efecto invernadero</t>
  </si>
  <si>
    <t>Proyecto 2.2 (3206.01) Implementación y evaluación de acciones del Plan Integral de Gestión de Cambio Climático -PIGCC- Territorial del Cesar</t>
  </si>
  <si>
    <t>Implementar y evaluar acciones del Plan Integral de Gestión de Cambio Climático -PIGCC- Territorial del Cesar</t>
  </si>
  <si>
    <t xml:space="preserve">Act. 2.2.1 (3206.01.01)  
Gestión e implementación de Estrategias y/o Proyectos de mitigación y adaptación al cambio climático, en el marco de los planteamientos del -PIGCC- Cesar, priorizando las acciones realizadas con el proyecto 1.2 y el programa 3202.  </t>
  </si>
  <si>
    <t xml:space="preserve">Número de estrategias y/o proyectos del PIGCC, implementados o promovidos
</t>
  </si>
  <si>
    <t>Elaborar informes de análisis de la incorporación de cambio climático en el proceso de formulación de los PDD, PDM y POT</t>
  </si>
  <si>
    <t>3203001 Documentos de lineamientos técnicos para la gestión integral del recurso hídrico</t>
  </si>
  <si>
    <t>3203 Gestión integral del recurso hídrico</t>
  </si>
  <si>
    <t>Act. 2.2.2 (3206016)
Estufa ecoeficiente fija (Incluye la construcción e instalación de estufas artesanales fijas, que disminuye el consumo de leña y la emisión de gases de efecto invernadero – GEI)</t>
  </si>
  <si>
    <t xml:space="preserve">Estufas ecoeficientes fijas construidas </t>
  </si>
  <si>
    <t>3206016 Estufa ecoeficiente fija</t>
  </si>
  <si>
    <t>Act. 2.2.3. (3206.07) 
Servicio de articulación para la gestión del cambio climático en la toma de decisiones sectoriales y territoriales.
Fortalecimiento de la participación y gestión de CORPOCESAR, en el Nodo Regional de Cambio Climático -NRCC- del Caribe.
Incluye todas las acciones promovidas por el gobierno nacional, intra, e interinstitucional para incidir con consideraciones de cambio climático en los instrumentos de planeación de los sectores y territorios.</t>
  </si>
  <si>
    <t>Agenda intersectorial del NRCC Caribe articulada y apoyada.</t>
  </si>
  <si>
    <t>Licencias ambientales</t>
  </si>
  <si>
    <t>3206007 Servicio de articulación para la gestión del cambio climático en la toma de decisiones sectoriales y territoriales</t>
  </si>
  <si>
    <t>LÍNEA ESTRATÉGICA TRANSVERSAL 3
GESTIÓN DEL ORDENAMIENTO AMBIENTAL TERRITORIAL Y GESTIÓN DEL RIESGO</t>
  </si>
  <si>
    <t xml:space="preserve">PROGRAMA 3 (3203) 
GESTIÓN INTEGRAL DEL RECURSO HÍDRICO.  </t>
  </si>
  <si>
    <t>Proyecto 3.1 (3203.01)
Documentos de lineamientos técnicos para la gestión integral del recurso hídrico y materialización de la gobernanza en el marco de la PNGIRH, en el dpto. del Cesar.</t>
  </si>
  <si>
    <t>Formular lineamientos técnicos para la gestión integral del recurso hídrico y materialización de la gobernanza en el marco de la PNGIRH, en el dpto. del Cesar.</t>
  </si>
  <si>
    <t>3203002 Documentos de planeación para la gestión integral del recurso hídrico</t>
  </si>
  <si>
    <t>Planes de Ordenación y Manejo de Cuencas Hidrográficas (POMCA) formulados en el territorio nacional</t>
  </si>
  <si>
    <t>Porcentaje promedio de avance en la formulación de los PMA en el tiempo t</t>
  </si>
  <si>
    <t>3203008 Servicio de monitoreo hidrológico</t>
  </si>
  <si>
    <t>3203056 Servicio de asistencia técnica</t>
  </si>
  <si>
    <t>3203033 Servicio de asistencia técnica para la promoción del uso eficiente y ahorro del agua</t>
  </si>
  <si>
    <t xml:space="preserve">Proyecto 3.2 (3701)
Fortalecimiento institucional a los procesos organizativos de concertación; garantía, prevención y respeto de los derechos humanos como fundamentos para la paz y la gobernanza ambiental </t>
  </si>
  <si>
    <t>3299 Fortalecimiento de la gestión y dirección del Sector Ambiente y Desarrollo Sostenible</t>
  </si>
  <si>
    <t xml:space="preserve">
Fortalecer los procesos organizativos de concertación; garantía, prevención y respeto de los derechos humanos como fundamentos para la paz y la gobernanza ambiental </t>
  </si>
  <si>
    <t xml:space="preserve">Act. 3.2.1 (3701028)
Servicio de promoción de derechos de las comunidades étnicas en el Dpto. 
(incluye la coordinación interinstitucional para el apoyo a la gestión e implementación de los acuerdos derivados de la protocolización de consultas previas). </t>
  </si>
  <si>
    <t>Encuentros realizados</t>
  </si>
  <si>
    <t>No aplica</t>
  </si>
  <si>
    <t>PROGRAMA 4. (3205)
ORDENAMIENTO AMBIENTAL TERRITORIAL</t>
  </si>
  <si>
    <t>Proyecto 4.1 (3205.01)
 Fortalecimiento del proceso de Ordenamiento Territorial como estrategia para promover el desarrollo territorial sostenible, en el dpto. del Cesar, enfocada a la atención interinstitucional de tres crisis ambientales globales.</t>
  </si>
  <si>
    <t>3205 Ordenamiento ambiental territorial</t>
  </si>
  <si>
    <t>Porcentaje</t>
  </si>
  <si>
    <t>3205001 Documentos de lineamientos técnicos para el ordenamiento ambiental territorial</t>
  </si>
  <si>
    <t xml:space="preserve">Proyecto 4.2 (3205.002) 
Estudios técnicos para el ordenamiento ambiental territorial, en armonía con la apuesta del PROGRAMA 2. </t>
  </si>
  <si>
    <t xml:space="preserve">Formular estudios técnicos para el ordenamiento ambiental territorial, en armonía con la apuesta del PROGRAMA 2. </t>
  </si>
  <si>
    <t>3205017 Documentos con diseños de obra para la reducción y mitigación del riesgo de desastres</t>
  </si>
  <si>
    <t>LÍNEA ESTRATÉGICA TRANSVERSAL 5. 
GESTIÓN DE ASUNTOS AMBIENTALES SECTORIALES.</t>
  </si>
  <si>
    <t>PROGRAMA 5.  3202
 CONSERVACIÓN DE LA BIODIVERSIDAD Y SUS SERVICIOS ECOSISTÉMICOS</t>
  </si>
  <si>
    <t>Proyecto 5.1. (3202.001) 
Coordinación y Desarrollo de portafolios de sistemas sostenibles de conservación - SSC- (conservación, restauración, manejo sostenible, agroforestales, reconversión productiva) en el departamento del Cesar</t>
  </si>
  <si>
    <t>3202 Conservación de la biodiversidad y sus servicios ecosistémicos</t>
  </si>
  <si>
    <t>Desarrollar portafolios de sistemas sostenibles para la conservación - SSC- (conservación, restauración, manejo sostenible, agroforestales, reconversión productiva) en el departamento del Cesar</t>
  </si>
  <si>
    <t>Act. 5.1.1. Coordinación, concienciación de actores entorno al proceso de visión de sistemas sostenibles de conservación -SSC. (Incluye la creación de alianzas y el acompañamiento respectivo en la ejecución de acciones estratégicas).</t>
  </si>
  <si>
    <t>3202014 Servicio de educación informal en el marco de la conservación de la biodiversidad y los Servicio ecostémicos</t>
  </si>
  <si>
    <t>Act. 5.1.2. Gestión sinérgica para la promoción y creación de capacidad técnica para la implementación del manejo SSC. (Incluye fortalecimiento y acompañamiento a través de capacitaciones para el manejo del SSC).</t>
  </si>
  <si>
    <t>Grupos asistidos técnicamente</t>
  </si>
  <si>
    <t>Act. 5.1.3. Apoyo a la implementación, seguimiento y evaluación de proyectos pilotos y/o estratégicos de SSC. (Incluye el acompañamiento y promoción del portafolio).</t>
  </si>
  <si>
    <t>Proyectos formulados y apoyados con seguimiento y evaluación</t>
  </si>
  <si>
    <t>3202002 Documentos de planeación para la conservación de la biodiversidad y sus servicios eco sistémicos</t>
  </si>
  <si>
    <t>Proyecto 5.2 (3202049)
Fortalecimiento, gestión e implementación de medidas para el manejo de la fauna y flora, en el departamento del Cesar.</t>
  </si>
  <si>
    <t>Fortalecimiento, gestión e implementación de medidas para el manejo de la fauna y flora, en el departamento del Cesar.</t>
  </si>
  <si>
    <t>Act. 5.2.1. Fortalecimiento de gobernanza forestal en la jurisdicción de CORPOCESAR.</t>
  </si>
  <si>
    <t>3202040 Servicio de asistencia técnica para la protección de la fauna y flora silvestre</t>
  </si>
  <si>
    <t>Act. 5.2.2. (3202019) Optimización del proceso operativo del CAVRFFS 
(Incluye la ejecución de acciones, seguimiento y control para la protección de la flora y la fauna del departamento del Cesar).</t>
  </si>
  <si>
    <t>Avance de la optimización de la operatividad</t>
  </si>
  <si>
    <t>3202019 Centro de Atención y Valoración de fauna silvestre construido</t>
  </si>
  <si>
    <t>Act. 5.2.3. (3202060) Servicios de restauración de ecosistemas estratégicos (Desde el punto de vista de la adopción de la estrategia de Soluciones Basadas en la Naturaleza (SbN)).</t>
  </si>
  <si>
    <t>Áreas en proceso de restauración y/o mantenimiento</t>
  </si>
  <si>
    <t>Act. 5.2.4. Implementación de estrategias para el manejo ambiental en territorios indígenas de la Sierra Nevada de Santa Marta y Serranía del Perijá.</t>
  </si>
  <si>
    <t>3208013 Servicio de acompañamiento a la implementación de estrategias de participación ciudadana en la gestión ambiental</t>
  </si>
  <si>
    <t>Act. 5.2.5. Implementación de estrategias para el manejo ambiental en comunidades afrodescendientes, otras minorías étnicas, y/o poblaciones vulnerables en el dpto. del Cesar.</t>
  </si>
  <si>
    <t>Gestionar el SIRAP e implementar estrategias de conservación de la biodiversidad. 
Formular, implementar y apoyar el Plan de Manejo de Areas Protejidas en el departamento del Cesar.</t>
  </si>
  <si>
    <t>Act. 5.3.1. Gestión y ejecución de planes de manejo para las APR y/o otras estrategias de conservación de la biodiversidad. (Incluye operación del RUNAP).</t>
  </si>
  <si>
    <t>3202011 Servicio de registro de áreas protegidas</t>
  </si>
  <si>
    <t>LÍNEA ESTRATÉGICA TRANSVERSAL 2 
GESTIÓN PARA LA CULTURA Y LA EDUCACIÓN AMBIENTAL y LÍNEA ESTRATÉGICA TRANSVERSAL 1 
GESTIÓN PARA EL FORTALECIMIENTO INSTITUCIONAL INTEGRAL</t>
  </si>
  <si>
    <t>PROGRAMA 6.  3299.
FORTALECIMIENTO DE LA GESTIÓN Y DIRECCIÓN DEL SECTOR AMBIENTE Y DESARROLLO SOSTENIBLE</t>
  </si>
  <si>
    <t>Proyecto 6.1 (3208.01)
 Fortalecimiento de la participación ciudadana en la Gestión ambiental, con enfoque de ETNO-DESARROLLO y ECOsocial en el dpto. del Cesar.</t>
  </si>
  <si>
    <t>3208 Educación Ambiental</t>
  </si>
  <si>
    <t>Fortalecer la participación ciudadana en la Gestión ambiental, con enfoque de ETNO-DESARROLLO y ECOsocial en el dpto. del Cesar.</t>
  </si>
  <si>
    <t>Act. 6.1.1. Apoyo a los grupos minoritarios en la formulación de planes de etno-desarrollo (comunidades afro) y planes de vida (comunidades indígenas).</t>
  </si>
  <si>
    <t>Act. 6.1.2. Acompañamiento a la promoción, organización, implementación e institucionalización de vigías y veedurías ambientales.</t>
  </si>
  <si>
    <t>Procesos participativos implementados</t>
  </si>
  <si>
    <t xml:space="preserve">Proyecto 6.2 (3208.02)
Fortalecimiento y optimización del programa transversal de Educación Ambiental de la Corporación, armonizado a la Política Nacional de Educación Ambiental asociados a todos los proyectos de inversión de la Corporación. </t>
  </si>
  <si>
    <t xml:space="preserve">Fortalecer y optimizar el programa transversal de Educación Ambiental de la Corporación, armonizado a la Política Nacional de Educación Ambiental asociados a todos los proyectos de inversión de la Corporación. </t>
  </si>
  <si>
    <t xml:space="preserve">Act. 6.2.1. Fortalecimiento de la educación ambiental incorporando el enfoque de las cátedras de gestión del riesgo y cambio climático, nodos de innovación para la educación ambiental. </t>
  </si>
  <si>
    <t>Procesos de educación ambiental realizados (incluye las cátedras de gestión del riesgo y cambio climático, nodos de innovación para la educación ambiental)</t>
  </si>
  <si>
    <t>3204025 Servicio de educación para el trabajo en cultura y participación para la gestión ambiental y territorial</t>
  </si>
  <si>
    <t xml:space="preserve">Act. 6.2.2. Fortalecimiento de capacidades a integrantes del SINA, como aporte a la modernización institucional en materia de educación ambiental. (Estrategias de investigación, acción - participación IAP en el reconocimiento del ordenamiento alrededor del agua y en procesos de conservación de la biodiversidad, restauración participativa de ecosistemas y suelos degradados). </t>
  </si>
  <si>
    <t>Acciones implementadas</t>
  </si>
  <si>
    <t>3208006 Servicio de asistencia técnica para la implementación de lasestrategias educativo ambientales y de participación</t>
  </si>
  <si>
    <t>Proyecto 6.3  
Planeación,  gestión e  implementación de recursos  para optimizar la capacidad de desempeño institucional (Infraestructura física y lógica, tecnologías emergentes, renovación tecnológica, seguridad digital, soporte técnico operacional y Talento Digital) dirigida al cumplimiento de los objetivos estratégicos de la Corporación en el marco del MIPG</t>
  </si>
  <si>
    <t xml:space="preserve"> Planear,  gestionar e  implementar recursos  para optimizar la capacidad de desempeño institucional (Infraestructura física y lógica, tecnologías emergentes, renovación tecnológica, seguridad digital, soporte técnico operacional y Talento Digital) dirigida al cumplimiento de los objetivos estratégicos de la Corporación en el marco del MIPG</t>
  </si>
  <si>
    <t>Act. 6.3.1 Optimización de la capacidad de Recursos físicos (Infraestructura, herramientas tecnológicas innovadoras, transporte, mantenimiento de equipos) para todas las seccionales.</t>
  </si>
  <si>
    <t>Act. 6.3.2. Mejoramiento de los sistemas de gestión archivística (TRD, TVD, PINAR, SIC) y gestión documental (consulta virtual y física centro de documentación) según plan específico.</t>
  </si>
  <si>
    <t>Avance del sistema archivístico y documental.</t>
  </si>
  <si>
    <t>Act. 6.3.3. Optimización del Sistema Integrado de Gestión de Calidad – SIGC (Calidad, Seguridad y Salud en el Trabajo y PIGA) de la Corporación.</t>
  </si>
  <si>
    <t>Indice Sistema de calidad y MIPG optimizado</t>
  </si>
  <si>
    <t>Act. 6.3.4. Fortalecimiento del Control Interno de gestión en armonía con la política y retos del PGAR (Auditorias).</t>
  </si>
  <si>
    <t>Indice de Eficacia/programa</t>
  </si>
  <si>
    <t>Act. 6.3.5. Fortalecimiento del Banco de Programas y Proyectos como soporte a la gestión de inversión ambiental de la entidad</t>
  </si>
  <si>
    <t>BPI-CAR fortalecido</t>
  </si>
  <si>
    <t>Act. 6.3.6. Concertación, gestión e Implementación del programa de bienestar social e incentivos, y de
formación y capacitación.</t>
  </si>
  <si>
    <t>Act. 6.3.7. Optimización integrada del sistema de atención al ciudadano (PQR, ventanilla única), quejas, sanciones ambientales).</t>
  </si>
  <si>
    <t>Avance de la optimización del sistema</t>
  </si>
  <si>
    <t>Proyecto 6.4. (3204) Gestión de la Información y el conocimiento ambiental</t>
  </si>
  <si>
    <t>3204 Gestión de la información y el conocimiento ambiental</t>
  </si>
  <si>
    <t>Gestionar recursos necesarios para la consolidación de la información que optimice el  conocimiento ambiental</t>
  </si>
  <si>
    <t>Act. 6.4.1. Gestión para la implementación y operación de instrumentos de monitoreo de los Recursos Naturales.</t>
  </si>
  <si>
    <t>Sistema implementado</t>
  </si>
  <si>
    <t>Materiales y guias para la producción y consumo sostenible</t>
  </si>
  <si>
    <t>Act. 6.4.2. Optimización del laboratorio de calidad de aire.</t>
  </si>
  <si>
    <t>Infraestructura adecuada y dotada</t>
  </si>
  <si>
    <t>Indice de Calidad Ambiental urbana</t>
  </si>
  <si>
    <t>Act. 6.4.3. Optimización del laboratorio de calidad de agua.</t>
  </si>
  <si>
    <t>Act. 6.4.4. Gestión para la implementación del laboratorio de suelo.</t>
  </si>
  <si>
    <t>Act. 6.4.5. Fortalecimiento del SIPGA – Cardinal</t>
  </si>
  <si>
    <t>Sistema de información actualizado</t>
  </si>
  <si>
    <t>Act. 6.4.6. Fortalecimiento de los Sistemas de Información.</t>
  </si>
  <si>
    <t>Act. 6.4.7. Reporte y cargue de la información solicitada por el Sistema de Información Ambiental de Colombia – SIAC.</t>
  </si>
  <si>
    <t>SIRH- Sistema de Información del Recurso Hídrico</t>
  </si>
  <si>
    <t>RESPEL-Registro de Generadores de Residuos o Desechos Peligrosos</t>
  </si>
  <si>
    <t>SNIF-Sistema Nacional de Información Forestal</t>
  </si>
  <si>
    <t>SIUR-Subsistema de información sobre uso de recursos naturales renovables</t>
  </si>
  <si>
    <t>Act. 6.4.8. Fortalecimiento de la implementación de la estrategia de Comunicación política de la gestión ambiental para la divulgación interinstitucional y aprehensión ciudadana al sector ambiental (Comunicación y cultura ciudadana, uso de redes sociales, optimización de plan de medios, reportes de la gestión a través de ASOCARS y entidades adscritas al sector)</t>
  </si>
  <si>
    <t>Act. 6.4.9. Evaluación de la Evolución dinámica del PGAR y los impactos de la gestión ambiental sobre la sostenibilidad del desarrollo socio-económico y los Indicadores Mínimos de Gestión.</t>
  </si>
  <si>
    <t>Evaluación realizada</t>
  </si>
  <si>
    <t>Act. 6.4.10. Consolidación del SIAC en lo relacionado con la generación, consolidación,análisis y reporte en el marco del acuerdo de Escazú.</t>
  </si>
  <si>
    <t>Socializar con los municipios la información derivada de sus sistemas de información relacionado con el conocimiento del estado del ambiente a nivel regional y local</t>
  </si>
  <si>
    <t>Act. 6.4.11 Implementación de la estrategia de Comunicación política de la gestión ambiental para la divulgación interinstitucional y aprehensión ciudadana al sector ambiental</t>
  </si>
  <si>
    <t>Proyecto 6.5 Control y seguimiento ambiental efectivo</t>
  </si>
  <si>
    <t>Realizar oportunamente las actividades de control y seguimiento ambiental efectivo</t>
  </si>
  <si>
    <t>Act 6.5.2. Adquisición de equipos para el fortalecimiento de las labores de control y seguimiento ambiental.</t>
  </si>
  <si>
    <t>Equipos adquiridos</t>
  </si>
  <si>
    <t>Act 6.5.3. Optimización de los procesos de trámites ambientales y servicios misionales de la corporación (incluye descentralización de funciones, fortalecimiento de talento humano).</t>
  </si>
  <si>
    <t xml:space="preserve">Acciones implementadas para la optimización de los procesos de trámites ambientales y servicios misionales de la corporación </t>
  </si>
  <si>
    <t>Seguimiento licencias ambientales</t>
  </si>
  <si>
    <t>Proyecto 6.6 Gestión para la optimización de la capacidad financiera y ejecutoria de la gestión ambiental de la Corporación</t>
  </si>
  <si>
    <t>Optimizar la capacidad financiera y ejecutoria de la gestión ambiental de la Corporación</t>
  </si>
  <si>
    <t>Concesiones de agua</t>
  </si>
  <si>
    <t>Act. 6.6.2. Gestión de fuentes diferentes a las Tasas RAE.</t>
  </si>
  <si>
    <t>Act. 6.6.3. Gestión e Implementación de estrategia de financiamiento y ejecución (fondo solidario para la gestión ambiental – FSGA-)</t>
  </si>
  <si>
    <t>Indice de ejecución FSGA</t>
  </si>
  <si>
    <t>Suscripción de acuerdos o alianzas para la implementación de estrategias de educación ambiental</t>
  </si>
  <si>
    <t>Lista de Productos de los Programas de Inversión Pública - PIP Sector Ambiente. Versión 2 febrero 2024</t>
  </si>
  <si>
    <t>Lista de indicadores asociados a los Productos de los PIP Sector Ambiente. Versión 2 febrero 2024</t>
  </si>
  <si>
    <t>Producto</t>
  </si>
  <si>
    <t>Descripción</t>
  </si>
  <si>
    <t>Medido a través de</t>
  </si>
  <si>
    <t>Indicador de producto</t>
  </si>
  <si>
    <t>Unidad de medida</t>
  </si>
  <si>
    <t xml:space="preserve"> Indicador Principal</t>
  </si>
  <si>
    <t>Es Nacional</t>
  </si>
  <si>
    <t>Es Territorial</t>
  </si>
  <si>
    <t>Lista de Programas de Inversión Pública - PIP</t>
  </si>
  <si>
    <t>Incluye la realización de documentos de política orientados al fortalecimiento del desempeño ambiental de los sectores productivos </t>
  </si>
  <si>
    <t>Número de documentos</t>
  </si>
  <si>
    <t xml:space="preserve">320100100 Documentos de política realizados </t>
  </si>
  <si>
    <t>Sí</t>
  </si>
  <si>
    <t>No</t>
  </si>
  <si>
    <t>id</t>
  </si>
  <si>
    <t>SECTOR AMBIENTE</t>
  </si>
  <si>
    <t>3201002 Documentos de lineamientos técnicos para el fortalecimiento del desempeño ambiental de los sectores productivos</t>
  </si>
  <si>
    <t>Documentos cuyo objetivo es describir y explicar instrumentos, estándares, requisitos y condiciones necesarias para llevar a cabo un proceso o actividad</t>
  </si>
  <si>
    <t>320100101 Documentos de política de pasivos ambientales formulados</t>
  </si>
  <si>
    <t>Incluye la verificación y asesoría técnica en la consolidación de negocios verdes </t>
  </si>
  <si>
    <t>Número de negocios verdes</t>
  </si>
  <si>
    <t>320100102 Documentos de política de pasivos ambientales implementados</t>
  </si>
  <si>
    <t xml:space="preserve">Acciones orientadas a brindar asistencia técnica en la formulación e implementación de proyectos demostrativos para la reducción de impactos ambientales de la minería </t>
  </si>
  <si>
    <t>Número de proyectos</t>
  </si>
  <si>
    <t>320100103 Documentos de política de calidad del aire actualizados</t>
  </si>
  <si>
    <t>3201005 Documentos de estudios técnicos para el fortalecimiento del desempeño ambiental de los sectores productivos</t>
  </si>
  <si>
    <t xml:space="preserve">Incluye la formulación de estudios en los cuales se realiza la evaluación ambiental estratégica </t>
  </si>
  <si>
    <t xml:space="preserve">320100104 Documentos de política de calidad del aire implementados </t>
  </si>
  <si>
    <t>3201006 Documentos normativos para el fortalecimiento del desempeño ambiental de los sectores productivos</t>
  </si>
  <si>
    <t xml:space="preserve">Incluye la realización de los documentos de contenido normativo para la reglamentación de las políticas ambientales y demás lineamientos técnicos del programa </t>
  </si>
  <si>
    <t>320100105 Documentos de política de residuos peligrosos actualizados</t>
  </si>
  <si>
    <t>Acciones orientadas a asistir a las entidades territoriales en la incorporación de varibales ambientales en la planificación sectorial</t>
  </si>
  <si>
    <t>Número de entidades y sectores</t>
  </si>
  <si>
    <t xml:space="preserve">320100106 Documentos de política de residuos peligrosos implementados </t>
  </si>
  <si>
    <t>3201008 Servicio de vigilancia de la calidad del aire</t>
  </si>
  <si>
    <t xml:space="preserve">Acciones orientadas a vigilar la cálida del aire de una zona determinada. </t>
  </si>
  <si>
    <t>Número de estaciones</t>
  </si>
  <si>
    <t>320100107 Documentos de política de calidad del suelo actualizados</t>
  </si>
  <si>
    <t>3207 Gestión integral de mares, costas y recursos acuáticos</t>
  </si>
  <si>
    <t>3201009 Servicio de seguimiento y evaluación de los programas de recolección de residuos pos consumo</t>
  </si>
  <si>
    <t>Seguimiento y evaluación realizada a programas que sean sometidos a sistemas de gestión diferencial y evitar que la disposición final se realice de manera conjunta con los residuos de origen doméstico.</t>
  </si>
  <si>
    <t>Número de programas de recolección de residuos</t>
  </si>
  <si>
    <t>320100108 Documentos de política de calidad del suelo implementados</t>
  </si>
  <si>
    <t>3201012 Documentos de política para mejorar la calidad ambiental de las áreas urbanas</t>
  </si>
  <si>
    <t>Incluye la realización de documentos de política para mejorar la calidad ambiental de las áreas urbanas</t>
  </si>
  <si>
    <t>320100109 Documentos de política de residuos de aparatos eléctricos y electrónicos diseñados</t>
  </si>
  <si>
    <t>3201013 Documentos de lineamientos técnicos para mejorar la calidad ambiental de las áreas urbanas</t>
  </si>
  <si>
    <t>Documentos cuyo objetivo es describir y explicar instrumentos, estándares, requisitos y condiciones necesarias para llevar a cabo un proceso o actividad en el marco del mejoramiento de la calidad ambiental de las áreas urbanas</t>
  </si>
  <si>
    <t>320100110 Documentos de política de residuos de aparatos eléctricos y electrónicos implementados</t>
  </si>
  <si>
    <t>3201014 Documentos normativos para promover la gestión sostenible del suelo</t>
  </si>
  <si>
    <t>Incluye la realización de los documentos de contenido normativo para la reglamentación de las políticas ambientales y demás lineamientos técnicos en el marco de la gestión sostenible del suelo</t>
  </si>
  <si>
    <t>320100111 Documentos de política de producción y consumo sostenible implementados</t>
  </si>
  <si>
    <t>3201015 Documentos de lineamientos técnicos parapromover la gestión sostenible del suelo</t>
  </si>
  <si>
    <t>Documentos cuyo objetivo es describir y explicar instrumentos, estándares, requisitos y condiciones necesarias para llevar a cabo un proceso o actividad en el marco de la gestión sostenible del suelo</t>
  </si>
  <si>
    <t>320100112 Documentos de política para la gestión del riesgo asociado a sustancias químicas implementados</t>
  </si>
  <si>
    <t>FUENTE</t>
  </si>
  <si>
    <t>https://mgaayuda.dnp.gov.co/</t>
  </si>
  <si>
    <t>Acciones orientadas a constatar y exigir el cumplimiento de todos los términos, obligaciones y condiciones que se deriven de los permisos y trámites ambientales.</t>
  </si>
  <si>
    <t>Número de actos administrativos</t>
  </si>
  <si>
    <t>320100113 Documentos de política de salud ambiental diseñados</t>
  </si>
  <si>
    <t>3201018 Servicio de modelación regional de medios biótico, abiótico y social</t>
  </si>
  <si>
    <t>Análisis integral de las áreas geográficas donde exista interés de la ANLA, como insumo para la evaluación, seguimiento y control de las solicitudes de licencias y otros instrumentos de manejo y control ambiental de competencia de la ANLA</t>
  </si>
  <si>
    <t>320100114 Documentos de política de salud ambiental implementados</t>
  </si>
  <si>
    <t>3201019 Servicio de información ambiental georreferenciada del proceso de evaluación</t>
  </si>
  <si>
    <t>Corresponde uso de coordenadas de mapa para asignar la ubicación espacial de la información geográfica de los proyectos allegados para evaluación de licencias ambientales.</t>
  </si>
  <si>
    <t>320100115 Documentos de política implementados</t>
  </si>
  <si>
    <t>3201020 Servicio de información ambiental georreferenciada del proceso de seguimiento</t>
  </si>
  <si>
    <t>Corresponde uso de coordenadas de mapa para asignar la ubicación espacial de la información geográfica de los proyectos licenciados</t>
  </si>
  <si>
    <t>320100200 Documentos de lineamientos técnicos realizados</t>
  </si>
  <si>
    <t>3201021 Documentos de instrumentos técnicos de evaluación y seguimiento ambiental</t>
  </si>
  <si>
    <t xml:space="preserve">Herramientas de gestión y generación de información ambiental asociada a la evaluación y seguimiento de licencias, permisos y trámites ambientales </t>
  </si>
  <si>
    <t>320100201 Documentos de lineamientos técnicos en el marco de incorporación de varibales ambientales en la planificación sectorial formulados</t>
  </si>
  <si>
    <t>3201022 Servicio sancionatorio ambiental</t>
  </si>
  <si>
    <t xml:space="preserve">Corresponde al proceso de apoyo jurídico para el seguimiento a los proyectos licenciados, para establecer las sanciones correspondientes a los incumplimientos a los requisitos y acuerdos ambientales establecidos. </t>
  </si>
  <si>
    <t>320100202 Documentos de lineamientos técnicos en el marco de incorporación de varibales ambientales en la planificación sectorial implementados</t>
  </si>
  <si>
    <t>3201023 Servicio de apoyo financiero para proyectos de inversión ambiental</t>
  </si>
  <si>
    <t>Comprende la transferencia de recursos del Fondo Nacional Ambiental-FONAM a las entidades del sector Ambiente y Desarrollo Sostenible que postulen proyectos de inversión ambiental.</t>
  </si>
  <si>
    <t>320100203 Programas de gestión ambiental sectorial diseñados</t>
  </si>
  <si>
    <t>3201024 Servicio de apoyo financiero a las entidades del sector ambiental en el marco de la compensación ambiental</t>
  </si>
  <si>
    <t>Comprende los recursos destinados a fortalecer las corporaciones autónomas regionales y de desarrollo sostenible beneficiarias del Fondo de Compensación Ambiental-FCA.</t>
  </si>
  <si>
    <t>Número de entidades</t>
  </si>
  <si>
    <t xml:space="preserve">320100300 Negocios verdes consolidados </t>
  </si>
  <si>
    <t>3201025 Servicio de licenciamiento ambiental</t>
  </si>
  <si>
    <t>Acciones orientadas a constatar y exigir el cumplimiento de todos los términos, obligaciones y condiciones que deriven el otorgamiento de  licencias ambientales</t>
  </si>
  <si>
    <t>Número de licencias</t>
  </si>
  <si>
    <t>320100400 Proyectos demostrativos para la reducción de impactos ambientales de la minería diseñados</t>
  </si>
  <si>
    <t>3201026 Servicio de seguimiento del licenciamiento ambiental</t>
  </si>
  <si>
    <t>Acciones orientadas a validar y exigir el cumplimiento de todos los requisitos de los proyectos licenciados.</t>
  </si>
  <si>
    <t>320100500 Documentos de estudios técnicos con la evaluación ambiental estratégica realizados</t>
  </si>
  <si>
    <t>3201027 Servicio de permisos y trámites ambientales</t>
  </si>
  <si>
    <t>Acciones orientadas a constatar y exigir el cumplimiento de todos los términos, obligaciones y condiciones que deriven el otorgamiento de permisos o trámites ambientales.</t>
  </si>
  <si>
    <t>Número de permisos</t>
  </si>
  <si>
    <t>320100600 Documentos normativos en el marco de la incorporación de variables ambientales en la planificación sectorial expedidos</t>
  </si>
  <si>
    <t>3201028 Servicio de monitoreo de fuentes de emisión de ruido</t>
  </si>
  <si>
    <t>Corresponde al desarrollo de acciones para detectar, medir y asociar el ruido generado por las diversas fuentes de ruido ambiental localizadas en su rango de medición, así como de las variables relacionadas con el nivel de ruido, para obtener información completa, fiable y permanente del nivel de ruido en los puntos de medición.</t>
  </si>
  <si>
    <t>Número de fuentes de emisiones de ruido</t>
  </si>
  <si>
    <t>320100700 Entidades y sectores asistidos técnicamente para la incorporación de varibales ambientales en la planificación sectorial</t>
  </si>
  <si>
    <t>3201029 Documentos de política</t>
  </si>
  <si>
    <t xml:space="preserve">320100800 Estaciones para el monitoreo de la calidad del aire implementadas </t>
  </si>
  <si>
    <t>3201030 Documentos de lineamientos técnicos</t>
  </si>
  <si>
    <t>320100801 Documentos con diagnóstico de la calidad de aire elaborado</t>
  </si>
  <si>
    <t>3201031 Servicio de asistencia técnica</t>
  </si>
  <si>
    <t>Corresponde al acompañamiento, asesoría y seguimiento técnico para la transferencia de herramientas de gestión y conocimiento a entidades nacionales y territoriales, o a grupos de valor, en procedimientos y trámites institucionales de competencia de la entidad.</t>
  </si>
  <si>
    <t>Número de asistencias técnicas</t>
  </si>
  <si>
    <t>320100802 Inventarios de fuentes fijas o móviles realizados</t>
  </si>
  <si>
    <t>3201032 Documentos de estudios técnicos</t>
  </si>
  <si>
    <t>Documentos cuyo objetivo es la elaboración de informes de base que analizan situaciones, estudios de caso y de una temática específica</t>
  </si>
  <si>
    <t>320100803 Informes de resultados del modelo de dispersión de contaminantes elaborados</t>
  </si>
  <si>
    <t>3201033 Documentos normativos</t>
  </si>
  <si>
    <t>Incluye la realización de documentos de contenido normativo para la reglamentación de los proyectos de ley presentados y aprobados</t>
  </si>
  <si>
    <t>320100804 Visitas de seguimiento al cumplimiento de estándares de calidad del aire realizadas</t>
  </si>
  <si>
    <t>3201034 Servicio de seguimiento</t>
  </si>
  <si>
    <t xml:space="preserve">Comprende el desarrollo de los procesos y acciones permanentes para conocer avances en la implementación de intervenciones públicas y sus resultados. Permite detectar diferencias, obstáculos o necesidades de ajuste en las intervenciones públicas que se están desarrollando. </t>
  </si>
  <si>
    <t>Número de acciones</t>
  </si>
  <si>
    <t>320100805 Campaña de monitoreo de calidad del aire realizadas</t>
  </si>
  <si>
    <t>3201035 Servicio de apoyo financiero para proyectos de acción climática y desarrollo sostenible</t>
  </si>
  <si>
    <t>Comprende la transferencia de recursos del Fondo para la Sustentabilidad y la Resiliencia Climática - FONSUREC- a la sociedad fiduciaria, para la ejecución de proyectos de acción climática y desarrollo sostenible</t>
  </si>
  <si>
    <t>Pesos de recursos</t>
  </si>
  <si>
    <t>320100900 Programas de recolección de residuos pos consumo evaluados</t>
  </si>
  <si>
    <t>3201036 Servicio de apoyo financiero para la ejecución de planes, programas y proyectos, de índole nacional y  territorial, encaminados a la acción y resiliencia climática, la gestión,  la educación y participación ambiental y la recuperación, conservación, protección, ordenamiento, manejo, uso y aprovechamiento de los recursos naturales renovables y la biodiversidad, así como las finalidades establecidas para el Impuesto Nacional al Carbono.</t>
  </si>
  <si>
    <t>Apoyo financiero para la ejecución de planes, programas y proyectos, de índole nacional o territorial, encaminados a la acción y resiliencia climática, la gestión ambiental, la educación y participación ambiental y la recuperación, conservación, protección, ordenamiento, manejo, uso y aprovechamiento de los recursos naturales renovables y la biodiversidad, así como al cumplimiento de las finalidades establecidas para el Impuesto Nacional al Carbono en el inciso primero del artículo 223 de la Ley 1819 de 2016 y las establecidas para los recursos generados a favor de la Nación, provenientes de la implementación del Programa Nacional de Cupos Transables de Emisiones (PNCTE), de acuerdo con el artículo 33 de la Ley 1931 de 2018.</t>
  </si>
  <si>
    <t>Número de operaciones financieras de transferencia</t>
  </si>
  <si>
    <t>320100901 Programas de recolección de residuos pos consumo con seguimiento</t>
  </si>
  <si>
    <t>3202001 Documentos de lineamientos técnicos para la conservación de la biodiversidad y sus servicios eco sistémicos</t>
  </si>
  <si>
    <t>Documentos cuyo objetivo es brindar directrices para la conservación de una o varias especies (terrestres, dulceacuícolas o marinas) y de ecosistemas de importancia estratégica para el país.</t>
  </si>
  <si>
    <t xml:space="preserve">320101200 Documentos de política para mejorar la calidad ambiental de las áreas urbanas elaborados </t>
  </si>
  <si>
    <t>Documentos cuyo objetivo es plasmar una visión de futuro a nivel país, entidad territorial, comunidad, sector, región, entidad o cualquier nivel de desagregación que se requiera. Incluye objetivos, estrategias, metas e indicadores</t>
  </si>
  <si>
    <t>320101300 Documentos de lineamientos técnicos para para mejorar la calidad ambiental de las áreas urbanas elaborados</t>
  </si>
  <si>
    <t>3202003 Documentos de política para la conservación de la biodiversidad y sus servicio eco sistémicos</t>
  </si>
  <si>
    <t>Incluye la realización de los documentos de política orientados a  conservación de la biodiversidad y sus Servicio eco sistémicos</t>
  </si>
  <si>
    <t>320101400 Documentos normativos para promover la gestión sostenible del suelo expedidos</t>
  </si>
  <si>
    <t>3202004 Documentos de investigación para la conservación de la biodiversidad y sus servicios eco sistémicos</t>
  </si>
  <si>
    <t>Incluye la elaboración de documentos orientados a ampliar el conocimiento para la preservación, uso, y restauración de la biodiversidad y sus Servicio eco sistémicos.</t>
  </si>
  <si>
    <t xml:space="preserve">320101500 Documentos de lineamientos técnicos para  promover la gestión sostenible del suelo elaborados </t>
  </si>
  <si>
    <t>3202005 Servicio de restauración de ecosistemas</t>
  </si>
  <si>
    <t>Incluye el restablecimiento del ecosistema degradado a una condición similar al ecosistema pre disturbio respecto a su composición, estructura, y funcionamiento. </t>
  </si>
  <si>
    <t>Hectáreas de áreas</t>
  </si>
  <si>
    <t>320101700 Actos administrativos de solicitudes elaborados</t>
  </si>
  <si>
    <t>3202006 Servicio de reforestación de ecosistemas</t>
  </si>
  <si>
    <t>Acciones orientadas a la siembra, mantenimiento y monitoreo de especies vegetales que cumplen una función especifica en el área, sin buscar el restablecimiento del ecosistema inicial. </t>
  </si>
  <si>
    <t>Hectáreas de plantaciones</t>
  </si>
  <si>
    <t>320101701 Actos administrativos de seguimiento elaborados</t>
  </si>
  <si>
    <t>3202008 Servicio de administración y manejo de áreas protegidas</t>
  </si>
  <si>
    <t>Incluye el desarrollo de actividades necesarias para administrar y manejar las áreas pertenecientes al Sistema Nacional de Áreas Protegidas, así como determinar el uso y el funcionamiento de las mismas</t>
  </si>
  <si>
    <t xml:space="preserve">320101800 Documentos técnicos de modelación regional elaborados </t>
  </si>
  <si>
    <t>3202009 Cartografía de las áreas protegidas</t>
  </si>
  <si>
    <t xml:space="preserve">Incluye las acciones orientadas al estudio y a la elaboración de mapas a diferentes escalas para la delimitación de áreas protegidas </t>
  </si>
  <si>
    <t>Número de mapas</t>
  </si>
  <si>
    <t xml:space="preserve">320101900 Documentos de revisión de información geográfica de evaluación elaborados </t>
  </si>
  <si>
    <t>3202010 Servicio de ecoturismo en las áreas protegidas</t>
  </si>
  <si>
    <t>Acciones orientadas hacia el reconocimiento de la importancia de la conservación de la biodiversidad en las áreas protegidas</t>
  </si>
  <si>
    <t>Número de visitantes</t>
  </si>
  <si>
    <t xml:space="preserve">320102000 Documentos de revisión de información geográfica de seguimiento elaborados </t>
  </si>
  <si>
    <t>Incluye el registro de las áreas protegidas del Sistema Nacional de Áreas Protegidas en cada una de sus categorías en el Registro Único Nacional de Áreas Protegidas – RUNAP.</t>
  </si>
  <si>
    <t xml:space="preserve">320102100 Documentos de instrumentos técnicos de evaluación y seguimiento ambiental realizados </t>
  </si>
  <si>
    <t>3202012 Servicio de protección de ecosistemas</t>
  </si>
  <si>
    <t xml:space="preserve">Incluye las acciones orientadas a la administración y manejo de áreas bajo el control de las corporaciones autónomas regionales y de las corporaciones de desarrollo sostenible </t>
  </si>
  <si>
    <t>320102101 Instrumentos técnicos de apoyo ambiental externo elaborados</t>
  </si>
  <si>
    <t>3202013 Servicio de autorización de comercio internacional de especies amenazadas de fauna y flora silvestres</t>
  </si>
  <si>
    <t xml:space="preserve">Incluye la elaboración de documentos orientados a la regular la exportación, reexportación e importación de animales y plantas vivos o muertos, y sus partes y derivados, de aquellas especies incluidas en los apéndices de la convención. </t>
  </si>
  <si>
    <t>320102200 Conceptos técnicos acogidos para procesos sancionatorios</t>
  </si>
  <si>
    <t xml:space="preserve">Corresponde a las capacitaciones destinadas a los agentes ambientales en el marco de la conservación de la biodiversidad y los Servicio ecosistemicos.  </t>
  </si>
  <si>
    <t>Número de personas</t>
  </si>
  <si>
    <t>320102300 Proyectos apoyados</t>
  </si>
  <si>
    <t>3202016 Servicio de erradicación de cultivos ilícitos</t>
  </si>
  <si>
    <t>Acciones orientadas a la erradicación de cultivos ilícitos para evitar la resiembra, estabilidad y expansión de los mismos, generando alternativas lícitas de desarrollo.</t>
  </si>
  <si>
    <t xml:space="preserve">320102400 Entidades apoyadas </t>
  </si>
  <si>
    <t>3202018 Servicio declaración de áreas protegidas</t>
  </si>
  <si>
    <t>Acciones orientadas a la designación de un área definida geográficamente como un área protegida con el fin de conservar el ecosistema. </t>
  </si>
  <si>
    <t>Hectáreas de nuevas áreas</t>
  </si>
  <si>
    <t>320102500 Licencias ambientales evaluadas</t>
  </si>
  <si>
    <t>Incluye la construcción de obras de edificación con el fin de recibir, atender, y tratar especímenes de especies silvestres de fauna y flora terrestre y acuática provisionalmente</t>
  </si>
  <si>
    <t>Número de centros de atención y valoración</t>
  </si>
  <si>
    <t>320102600 Proyectos licenciados con seguimiento realizado</t>
  </si>
  <si>
    <t>3202020 Centro de Atención y Valoración de fauna silvestre construido y dotado</t>
  </si>
  <si>
    <t>Incluye la construcción de obras de edificación con el fin de recibir, atender, y tratar especímenes de especies silvestres de fauna y flora terrestre y acuática provisionalmente. A su vez, contiene la dotación a la infraestructura construida. </t>
  </si>
  <si>
    <t>320102700 Permisos y trámites ambientales otorgados</t>
  </si>
  <si>
    <t>3202021 Centro de Atención y Valoración de fauna silvestre ampliado</t>
  </si>
  <si>
    <t>Incluye el incremento del área construida de una edificación existente, con el fin de recibir, atender, y tratar especímenes de especies silvestres de fauna y flora terrestre o acuática provisionalmente. </t>
  </si>
  <si>
    <t>320102800 Fuentes de emisiones de ruido monitoreadas</t>
  </si>
  <si>
    <t>3202022 Centro de Atención y Valoración de fauna silvestre adecuado</t>
  </si>
  <si>
    <t xml:space="preserve">Incluye el cambio del uso de una edificación o parte de ella, garantizando a permanencia total o parcial del inmueble original, con el fin de recibir, atender, y tratar especímenes de especies silvestres de fauna y flora terrestre o acuática provisionalmente. </t>
  </si>
  <si>
    <t>320102900 Documentos de política elaborados</t>
  </si>
  <si>
    <t>3202023 Centro de Atención y Valoración de fauna silvestre modificado</t>
  </si>
  <si>
    <t xml:space="preserve">Incluye la variación del diseño arquitectónico o estructural de una edificación existente, sin incrementar su área construida con el fin de recibir, atender, y tratar especímenes de especies silvestres de fauna y flora terrestre o acuática provisionalmente. </t>
  </si>
  <si>
    <t>320103000 Documentos de lineamientos técnicos realizados</t>
  </si>
  <si>
    <t>3202024 Centro de Atención y Valoración de fauna silvestre con reforzamiento estructural</t>
  </si>
  <si>
    <t xml:space="preserve">Incluye la intervención o el reforzamiento de la estructura de uno o varios inmuebles, con el objeto de acondicionarlos a niveles adecuados de seguridad sismo resistente, y con esto recibir, atender, y tratar especímenes de especies silvestres de fauna y flora terrestre o acuática provisionalmente. </t>
  </si>
  <si>
    <t>320103100 Asistencias técnicas realizadas</t>
  </si>
  <si>
    <t>3202025 Centro de Atención y Valoración de flora silvestre construido</t>
  </si>
  <si>
    <t>Incluye la construcción de obras de edificación en terrenos no construidos con el fin de facilitar los procedimientos de valoración y recuperación de la flora Silvestre. </t>
  </si>
  <si>
    <t>320103200 Documentos de estudios técnicos elaborados</t>
  </si>
  <si>
    <t>3202026 Centro de Atención y Valoración de flora silvestre construido y dotado</t>
  </si>
  <si>
    <t>Incluye la construcción de obras de edificación en terrenos no construidos con el fin de facilitar los procedimientos de valoración y recuperación de la flora Silvestre.  A su vez, contiene la dotación a la infraestructura construida. </t>
  </si>
  <si>
    <t>320103300 Documentos normativos elaborados</t>
  </si>
  <si>
    <t>3202027 Centro de atención e interpretación de la biodiversidad y sus servicios ecosistemicos construido</t>
  </si>
  <si>
    <t>Incluye la construcción (en terrenos no construidos o cuya área esté libre por autorización de demolición total) de infraestructura destinada para la atención y servicios informativos acerca de la importancia de la biodiversidad en zonas de importancia ambiental.</t>
  </si>
  <si>
    <t>Número de centros de atención y e interpretación de la biodiversidad</t>
  </si>
  <si>
    <t>320103400 Acciones de Seguimiento desarrolladas</t>
  </si>
  <si>
    <t>3202028 Centro de Atención e interpretación de la biodiversidad y sus servicios ecosistemicos adecuado</t>
  </si>
  <si>
    <t>Incluye la autorización para cambiar el uso de una edificación o parte de ella, garantizando a permanencia total o parcial del inmueble original destinado para la atención y servicios informativos acerca de la importancia de la biodiversidad en zonas de importancia ambiental.</t>
  </si>
  <si>
    <t>320103500 Recursos asignados a la sociedad fiduciaria para la implementación de proyectos de acción climática y desarrollo sostenible</t>
  </si>
  <si>
    <t>Pesos</t>
  </si>
  <si>
    <t>3202029 Centro de atención e interpretación de la biodiversidad y sus servicios ecosistemicos construido y dotado</t>
  </si>
  <si>
    <t>Incluye la construcción (en terrenos no construidos o cuya área esté libre por autorización de demolición total) y dotación de la infraestructura destinada para la atención y servicios informativos acerca de la importancia de la biodiversidad en zonas de importancia ambiental.</t>
  </si>
  <si>
    <t>320103600 Operaciones financieras de transferencia</t>
  </si>
  <si>
    <t>3202030 Centros de atención de las áreas protegidas construidos</t>
  </si>
  <si>
    <t xml:space="preserve">Incluye la construcción de obras de edificación en terrenos no construidos o cuya área esté libre por autorización de demolición total a construcción de infraestructura con el fin de administrar, manejar, y atender a los visitantes de las áreas protegidas. </t>
  </si>
  <si>
    <t>Número de centros de atencion de las áreas protegidas construidos</t>
  </si>
  <si>
    <t>320103601 Proyectos de desarrollo sostenible, protección y conservación de la biodiversidad y los recursos naturales renovables y la acción climática implementados.</t>
  </si>
  <si>
    <t>3202031 Documentos de lineamientos técnicos con acuerdos de uso, ocupación y tenencia en las áreas protegidas</t>
  </si>
  <si>
    <t>Documentos que contienen estrategias, directrices y acuerdos que orientan el manejo y solución de conflictos relacionados con el uso, ocupación y tenencia en las áreas protegidas administradas por Parques Nacionales Naturales.</t>
  </si>
  <si>
    <t>Número de acuerdos</t>
  </si>
  <si>
    <t>320200100 Documentos de lineamientos técnicos realizados</t>
  </si>
  <si>
    <t>3202032 Servicio de prevención, vigilancia y control de las áreas protegidas</t>
  </si>
  <si>
    <t>Incluye el desarrollo de actividades necesarias para el ejercicio de la autoridad ambiental en las áreas protegidas </t>
  </si>
  <si>
    <t>320200101 Documentos de lineamientos técnicos para compensaciones por perdida de biodiversidad realizados</t>
  </si>
  <si>
    <t>3202033 Infraestructura ecoturística construida</t>
  </si>
  <si>
    <t>Incluye el diseño y construcción de la infraestructura para el ecoturismo</t>
  </si>
  <si>
    <t>Número de infraestructura</t>
  </si>
  <si>
    <t xml:space="preserve">320200102 Documentos de lineamientos técnicos con esquemas de pagos por Servicio ambientales formulados </t>
  </si>
  <si>
    <t>3202034 Infraestructura construida para la administración, la vigilancia y el control de las áreas protegidas</t>
  </si>
  <si>
    <t>Incluye el diseño y construcción de la infraestructura para la administración, gestión y manejo de las áreas protegidas, esto es, las sedes administrativas, operativas, de control y vigilancia, sistemas de abastecimiento de agua, energía y tratamiento de aguas residuales, entre otros.</t>
  </si>
  <si>
    <t>320200103 Documentos con lineamientos técnicos de zonificación formulados</t>
  </si>
  <si>
    <t>3202037 Servicio de recuperación de cuerpos de agua lénticos y lóticos</t>
  </si>
  <si>
    <t xml:space="preserve">Incluye las actividades para recuperar la capacidad hidráulica de cuerpos de agua con miras a recuperar sus servicios ecosistémicos, entre ellos, prevención de inudaciones, oferta de agua,  la capacidad de almacenamiento de agua, conectividad hidráulica, hábitat para especies acuáticas </t>
  </si>
  <si>
    <t>Hectáreas de cuerpos de agua</t>
  </si>
  <si>
    <t>320200104 Documentos de lineamientos técnicos de restauración de ecosistemas a nivel nacional diseñados</t>
  </si>
  <si>
    <t>3202038 Servicio de producción de plántulas en viveros</t>
  </si>
  <si>
    <t>Acciones orientadas a producir plántulas en viveros que serán utilizadas en la recuperación de ecosistemas degradados</t>
  </si>
  <si>
    <t xml:space="preserve">Número de plántulas </t>
  </si>
  <si>
    <t>320200105 Documentos de lineamientos técnicos para el manejo de especies invasoras elaborados</t>
  </si>
  <si>
    <t>3202039 Servicio de dragado</t>
  </si>
  <si>
    <t>Acciones orientadas a extraer materiales o escombros de un cuerpo de agua.</t>
  </si>
  <si>
    <t>Metros cúbicos de dragado</t>
  </si>
  <si>
    <t xml:space="preserve">320200106 Documentos de lineamientos técnicos con el manejo de especies de fauna y flora elaborados </t>
  </si>
  <si>
    <t>Incluye acompañamiento entidades gubernamentales y no gubernamentales en temas de protección a las especies de fauna y flora silvestres, además de la formulación, seguimiento y control a programas para asegurar el uso sostenible y protección de especies de fauna y flora incluidas en los apéndices Convención sobre el Comercio Internacional de Especies Amenazadas de Fauna y Flora Silvestres - CITES.</t>
  </si>
  <si>
    <t xml:space="preserve">320200107 Documentos de lineamientos técnicos con acuerdos para uso y tenencia de parques elaborados </t>
  </si>
  <si>
    <t>3202041 Servicio de establecimiento de especies vegetales</t>
  </si>
  <si>
    <t>Acciones orientadas a la siembra de especies vegetales escogidas con criterios de selección según condiciones ecosistemicas de las zonas a establecer.</t>
  </si>
  <si>
    <t>Número de árboles</t>
  </si>
  <si>
    <t>320200108 Documentos de lineamientos técnicos con instrumentos económicos y financieros realizados</t>
  </si>
  <si>
    <t>3202042 Servicio de manejo del arbolado urbano</t>
  </si>
  <si>
    <t>Acciones que le permiten a la autoridad ambiental realizar podas, talas o tratamientos fitosanitarios a los árboles que sen encuentren en condiciones de emergencia.</t>
  </si>
  <si>
    <t>320200109 Documentos de lineamientos técnicos para el manejo de las áreas protegidas diseñados</t>
  </si>
  <si>
    <t>3202043 Servicio apoyo financiero para la implementación de esquemas de pago por Servicio ambientales</t>
  </si>
  <si>
    <t>Incluye el diseño y entrega de instrumentos económicos para dar incentivos a los usuarios del suelo, de manera que continúen ofreciendo un servicio ambiental (ecológico) que beneficia a la sociedad como un todo.</t>
  </si>
  <si>
    <t>320200110 Documento de lineamientos técnicos para las administración del recurso hídrico</t>
  </si>
  <si>
    <t>3202044 Estudios de preinversión</t>
  </si>
  <si>
    <t>Incluye la realización de los estudios requeridos en las fases de pre factibilidad, factibilidad o definitivos.</t>
  </si>
  <si>
    <t>Número de estudios de preinversión</t>
  </si>
  <si>
    <t>320200111 Documentos de política realizados</t>
  </si>
  <si>
    <t>3202045 Servicio de identificación de suelo de protección</t>
  </si>
  <si>
    <t>Acciones orientadas a la identificación y gestión para el establecimiento de como suelo de protección por las entidades territoriales en el marco del Art. 35 de la Ley 388 de 1997 y el Art.   2.2.2.1.2.11. del Decreto Único Reglamentario del Sector Ambiente 1076 de 2015. Estas áreas por sus características geográficas, paisajísticas o ambientales tienen restringida la posibilidad de urbanizarse y aportan a la conservación de la biodiversidad y los servicios ecosistémicos. Si bien los suelos de protección no son categorías de manejo de áreas protegidas, pueden aportar al cumplimiento de los objetivos específicos de conservación, en cuyo caso las autoridades con competencias en la declaración de las áreas protegidas deberán acompañar al municipio y brindar la asesoría necesaria para las labores de conservación del área.</t>
  </si>
  <si>
    <t>320200112 Documentos de lineamientos técnicos  implementados</t>
  </si>
  <si>
    <t>3202046 Servicio de control y vigilancia al tráfico ilegal de especies</t>
  </si>
  <si>
    <t>Incluye acciones desarrolladas por las Autoridades Ambientales (Unidad Administrativa Especial del Sistema de Parques Nacionales Naturales, las Corporaciones Autónomas Regionales y de Desarrollo Sostenible y las Autoridades Ambientales de los Grandes Centros Urbanos que trata el artículo 66 de La Ley 99 de 1993), orientadas a la atención de todas aquellas actividades ilícitas de aprovechamiento, movilización, tenencia, uso y comercialización de especímenes silvestres.</t>
  </si>
  <si>
    <t>Número de operativos</t>
  </si>
  <si>
    <t xml:space="preserve">320200200 Documentos de planeación realizados </t>
  </si>
  <si>
    <t>3202047 Servicio de administración y manejo de áreas protegidas locales no vinculadas al Sistema Nacional de Áreas Protegidas</t>
  </si>
  <si>
    <t>Incluye el desarrollo de actividades necesarias para administrar y manejar las áreas protegidas declaradas a nivel municipal o distrital que no se encuentran incluidas en el Sistema Nacional de Áreas Protegidas.</t>
  </si>
  <si>
    <t xml:space="preserve">320200201 Documentos de planeación de biodiversidad y sus Servicio ecosistemicos formulados </t>
  </si>
  <si>
    <t>3202048 Documentos de lineamientos técnicos con acuerdos de uso, ocupación y tenencia en áreas protegidas no vinculadas al Sistema Nacional de Áreas Protegidas</t>
  </si>
  <si>
    <t>Incluye la realización de los documentos técnicos orientados a  conservación de la biodiversidad y sus servicios eco sistémicos por medios de acuerdos orientados a resolver la problemática de uso, ocupación y tenencia en áreas protegidas locales (municipales o distritales) que no hacen  parte del Sistema Nacional de Áreas Protegidas.</t>
  </si>
  <si>
    <t xml:space="preserve">320200202 Documentos de planeación para el uso y manejo de reservas forestales protectoras formulados </t>
  </si>
  <si>
    <t>3202049 Servicio de recuperación de ecosistemas</t>
  </si>
  <si>
    <t>Incluye al recuperación de áreas disturbadas en ecosistemas boscosos y no boscosos a través del análisis de tensionantes en el territorio, el análisis de suelos para conocer su estado, la plantación de árboles y arbustos de especies nativas relacionadas con el ecosistema de referencia, el aislamiento de áreas más afectadas por el tensionante identificado, la suscripción de acuerdo voluntarios con la comunidad para el mantenimiento de las acciones implementadas y el seguimiento y monitoreo a las intervenciones adelantadas.</t>
  </si>
  <si>
    <t xml:space="preserve">320200203 Documentos de planeación para el uso sostenible de especies silvestres elaborados </t>
  </si>
  <si>
    <t>3202050 Servicio de repoblación de especies de fauna silvestre</t>
  </si>
  <si>
    <t>Hace referencia al acto de liberación de individuos de especies de fauna silvestre en áreas donde existen o existieron poblaciones de las mismas con el objeto de incrementar su abundancia y con ello mejorar las condiciones ecológicas de sitio, basado en estudios.</t>
  </si>
  <si>
    <t>Número de individuos</t>
  </si>
  <si>
    <t xml:space="preserve">320200204 Documentos de planeación para  la salvaguarda de recursos genéticos elaborados </t>
  </si>
  <si>
    <t>3202051 Estufa ecoeficiente móvil</t>
  </si>
  <si>
    <t>Incluye el montaje e instalación de estufas artesanales móviles, que disminuyen el consumo de leña contribuyendo a la conservación de la biodiversidad y sus servicios ecosistémicos.</t>
  </si>
  <si>
    <t>Número de estufas</t>
  </si>
  <si>
    <t>320200205 Documentos de planeación con el programa de pagos de Servicio ambientales implementados</t>
  </si>
  <si>
    <t>3202052 Documentos de planeación</t>
  </si>
  <si>
    <t>Consiste en la formulación de documentos cuyo objetivo es plasmar una visión de futuro a nivel país, entidad territorial, comunidad, sector, región, entidad o cualquier nivel de desagregación que se requiera, plasmando elementos como objetivos, estrategias, metas e indicadores</t>
  </si>
  <si>
    <t xml:space="preserve">320200300 Documentos de política realizados </t>
  </si>
  <si>
    <t>3202053 Documentos de lineamientos técnicos</t>
  </si>
  <si>
    <t xml:space="preserve">320200301 Documentos de política sobre la conservación de la biodiversidad y los servicios ecosistémicos elaborado </t>
  </si>
  <si>
    <t>3202054 Documentos de política</t>
  </si>
  <si>
    <t>Documentos cuyo objetivo es dar una orientación frente a las acciones que el Estado debe realizar en el marco de un tema específico con el fin de suplir necesidades de interés público, materializables en los diferentes instrumentos de planeación y presupuestación</t>
  </si>
  <si>
    <t>320200302 Documentos de política en el marco del uso, manejo de la biodiversidad y los servicios ecosistémicos elaborado</t>
  </si>
  <si>
    <t>3202055 Documentos de investigación</t>
  </si>
  <si>
    <t>Consiste en la formulación de documentos generados a partir de la recolección, análisis y procesamiento de la información</t>
  </si>
  <si>
    <t>320200303 Documentos de política para el manejo de las situaciones asociados a uso, ocupación y tenencia en áreas protegidas realizados</t>
  </si>
  <si>
    <t>3202056 Servicio de educación informal</t>
  </si>
  <si>
    <t>Acciones orientadas al desarrollo de programas educativos para complementar, actualizar, perfeccionar, renovar o profundizar conocimientos, habilidades, técnicas y prácticas. Este conocimiento libre y espontáneo adquirido, puede provenir de personas, entidades, medios masivos de comunicación, medios impresos, tradiciones, costumbres, comportamientos sociales y otros no estructurados y su duración es inferior a 160 horas.</t>
  </si>
  <si>
    <t>320200400 Documentos de investigación realizados</t>
  </si>
  <si>
    <t>3202057 Servicio de asistencia técnica</t>
  </si>
  <si>
    <t xml:space="preserve">320200401 Documentos de investigación de especies elaborados </t>
  </si>
  <si>
    <t>3202060 Servicio de restauración de ecosistemas</t>
  </si>
  <si>
    <t xml:space="preserve">320200402 Documentos de investigación sobre el estado de poblaciones de fauna y flora elaborados </t>
  </si>
  <si>
    <t>3202062 Centro de transformación productiva construido y dotado para actividades de bioeconomía</t>
  </si>
  <si>
    <t xml:space="preserve">Incluye el diseño y construcción de la infraestructura que apoye el funcionamiento de centros de transformación productiva para realizar actividades derivadas del uso de la biodiversidad que impulsen la bioeconomía. También incluye la identificación de necesidades de dotación, así como la adquisición e instalación de mobiliario y demás elementos no consumibles requeridos para apoyar el funcionamiento de los centros de transformación productiva. </t>
  </si>
  <si>
    <t>Número de centros</t>
  </si>
  <si>
    <t>320200500 Áreas en proceso de restauración</t>
  </si>
  <si>
    <t>3202063 Centro de transformación productiva adecuado y dotado para actividades de bioeconomía</t>
  </si>
  <si>
    <t xml:space="preserve">Corresponde a las obras de edificación que cambian, adecuan o modifican, de manera completa o parcial, el uso de un inmueble existente, garantizando su permanencia total o parcial para el funcionamiento de los centros de transformación productiva para realizar actividades derivadas del uso de la biodiversidad que impulsen la bioeconomía. También incluye la identificación de necesidades de dotación, así como la adquisición e instalación de mobiliario y demás elementos no consumibles requeridos para apoyar el funcionamiento de los centros de transformación productiva. </t>
  </si>
  <si>
    <t>320200501 Áreas en proceso restauración aisladas</t>
  </si>
  <si>
    <t>3202064 Centro de transformación productiva dotado para actividades de bioeconomía</t>
  </si>
  <si>
    <t>Incluye la identificación de necesidades de dotación, así como la adquisición e instalación de mobiliario y demás elementos no consumibles requeridos para apoyar el funcionamiento de los centros de transformación productiva para realizar actividades derivadas del uso de la biodiversidad que impulsen la bioeconomía</t>
  </si>
  <si>
    <t>320200502 Áreas en proceso restauración en mantenimiento</t>
  </si>
  <si>
    <t>Documentos con directrices en el manejo y planificación del recurso hídrico para la implementación de la Política Nacional de Gestión integral del Recurso Hídrico</t>
  </si>
  <si>
    <t>320200503 Áreas en proceso de restauración con seguimiento</t>
  </si>
  <si>
    <t>320200504 Árboles nativos sembrados</t>
  </si>
  <si>
    <t>3203003 Documentos de política para la gestión integral del recurso hídrico</t>
  </si>
  <si>
    <t xml:space="preserve">Incluye la realización de los documentos de política orientados a la gestión integral del recurso hídrico. </t>
  </si>
  <si>
    <t>320200505 Colmenas establecidas</t>
  </si>
  <si>
    <t>3203004 Documentos normativos para la gestión integral del recurso hídrico</t>
  </si>
  <si>
    <t>Incluye la realización de los documentos de contenido normativo para la reglamentación de las políticas ambientales y demás lineamientos técnicos del programa.</t>
  </si>
  <si>
    <t>Número de resoluciones</t>
  </si>
  <si>
    <t>320200600 Plantaciones forestales realizadas</t>
  </si>
  <si>
    <t>3203005 Documentos de estudios técnicos regionales sobre recurso hídrico</t>
  </si>
  <si>
    <t xml:space="preserve">Incluye la elaboración de estudios sobre la distribución, la oferta, la demanda y la calidad del recurso hídrico </t>
  </si>
  <si>
    <t>320200601 Plantaciones forestales aisladas</t>
  </si>
  <si>
    <t>3203006 Servicio de asistencia técnica relacionado con calidad, uso y planificación del recurso hídrico</t>
  </si>
  <si>
    <t xml:space="preserve">Incluye el acompañamiento a las entidades territoriales y a las autoridades ambientales en la difusión de herramientas para la gestión integral del recurso hídrico </t>
  </si>
  <si>
    <t>Número de talleres</t>
  </si>
  <si>
    <t>320200602 Plantaciones forestales mantenidas</t>
  </si>
  <si>
    <t xml:space="preserve">Incluye el monitoreo a aguas superficiales y subterráneas con el fin de cuantificar los recursos de agua del país y generar la línea base necesaria para consolidar proyecciones de estos recursos a mediano y largo plazo. Así mismo, se utiliza para la administración del agua que realizan las autoridades ambientales. </t>
  </si>
  <si>
    <t>Número de visitas</t>
  </si>
  <si>
    <t>320200603 Plantaciones forestales con seguimiento</t>
  </si>
  <si>
    <t>3203009 Servicio de caracterización de la calidad del agua</t>
  </si>
  <si>
    <t>Incluye la medición de la oferta y demanda de agua en detalle suficiente para asignar eficientey eficazmente el recurso hídrico a nivel de cuencas priorizadas aguas superficiales, subterráneas y marino costeras.</t>
  </si>
  <si>
    <t>320200604 Árboles plantados</t>
  </si>
  <si>
    <t>3203010 Servicio de modelación hidráulica</t>
  </si>
  <si>
    <t xml:space="preserve">Acciones orientadas al diseño e implementación de modelos hidráulicos que contengan la caracterización de la variación espacial y temporal de la velocidad y profundidad del agua </t>
  </si>
  <si>
    <t>Número de modelos</t>
  </si>
  <si>
    <t>320200605 Árboles con mantenimiento</t>
  </si>
  <si>
    <t>3203011 Servicio de modelación hidrológica</t>
  </si>
  <si>
    <t>Acciones orientadas al diseño e implementación de modelos hidrológicos en los que se representan las cuencas hidrográficas y cada uno de los componentes del ciclo hidrológico con el fin de facilitar el ordenamiento del territorio y la toma de decisiones</t>
  </si>
  <si>
    <t>Número de modelos hidrológicos</t>
  </si>
  <si>
    <t xml:space="preserve">320200800 Áreas administradas </t>
  </si>
  <si>
    <t>3203012 Servicio de modelación de calidad del agua y de sedimentos</t>
  </si>
  <si>
    <t>Consiste en la generación de información sobre la simulación del comportamiento y los cambios en la concentración transportados por el agua</t>
  </si>
  <si>
    <t xml:space="preserve">320200801 Jornadas de vigilancia realizadas </t>
  </si>
  <si>
    <t>3203014 Estaciones hidrológicas construidas</t>
  </si>
  <si>
    <t xml:space="preserve">Incluye la construcción de estaciones de monitoreo para observación y registro de niveles en los cuerpos de agua, a partir de los cuales se calculan los caudales. En algunas estaciones además se hacen muestreos de sedimentos; a partir ellos se calculan la concentración y el transporte de sedimentos en suspensión. </t>
  </si>
  <si>
    <t>Número de estaciones hidrológicas</t>
  </si>
  <si>
    <t xml:space="preserve">320200900 Mapas elaborados </t>
  </si>
  <si>
    <t>3203015 Estaciones hidrológicas mejoradas</t>
  </si>
  <si>
    <t xml:space="preserve">Incluye la adquisición de equipos de medición de variables adicionales a los existentes o el cambio a equipos con sensores automáticos </t>
  </si>
  <si>
    <t>320201000 Visitantes que ingresan a las áreas protegidas nacionales</t>
  </si>
  <si>
    <t>3203016 Estaciones meteorológicas construidas</t>
  </si>
  <si>
    <t>Incluye la construcción de estaciones de monitoreo de variables atmosféricas, cuyo propósito principal es el estudio y seguimiento del clima. Las estaciones pueden conformar varios tipos de redes: red pluviométrica, red climatológica, red agro meteorológica, red sinóptica y red aerológica</t>
  </si>
  <si>
    <t>Número de estaciones meteorológicas</t>
  </si>
  <si>
    <t>320201100 Áreas protegidas registradas en el Registro Único Nacional de Áreas Protegidas</t>
  </si>
  <si>
    <t>3203017 Estaciones meteorológicas mejoradas</t>
  </si>
  <si>
    <t xml:space="preserve">Incluye el equipamiento necesario para la medición de variables adicionales a los existentes o el cambio a equipos con sensores automáticos </t>
  </si>
  <si>
    <t>320201200 Áreas de ecosistemas protegidas</t>
  </si>
  <si>
    <t>3203018 Estaciones de monitoreo de agua subterránea construidas</t>
  </si>
  <si>
    <t>Se trata de pozos diseñados para monitorear el agua subsuperficial en la zona saturada</t>
  </si>
  <si>
    <t>Número de estaciones de monitoreo de agua subterránea</t>
  </si>
  <si>
    <t>320201300 Documentos de autorización sobre Comercio Internacional de Especies Amenazadas de Fauna y Flora Silvestres elaborados</t>
  </si>
  <si>
    <t>3203021 Cartografía ambiental temática</t>
  </si>
  <si>
    <t xml:space="preserve">Incluye las acciones orientadas al estudio y a la elaboración de mapas a diferentes escalas sobre temáticas ambientales </t>
  </si>
  <si>
    <t>320201400 Personas capacitadas</t>
  </si>
  <si>
    <t>3203022 Servicio de zonificación ambiental</t>
  </si>
  <si>
    <t>Acciones orientadas a la determinación de zonas esenciales para el manejo de las cuencas</t>
  </si>
  <si>
    <t xml:space="preserve">320201401 Documento con plan de educación ambiental elaborado </t>
  </si>
  <si>
    <t>3203023 Servicio de manejo de datos hidrometeorológicos y de calidad del agua</t>
  </si>
  <si>
    <t>Hardware y software para la transmisión, captura, almacenamiento y difusión de datos e información hidrológica, meteorológica y de calidad del agua</t>
  </si>
  <si>
    <t>Número de sistemas de almacenamiento de datos hidrometeorológicos</t>
  </si>
  <si>
    <t xml:space="preserve">320201402 Talleres realizados </t>
  </si>
  <si>
    <t>3203024 Laboratorios construidos</t>
  </si>
  <si>
    <t>Incluye la construcción de laboratorios con el fin de contribuir con la generación de información que contribuya al conocimiento de los procesos de deterioro, contaminación o  recuperación de los recursos biofísicos del país</t>
  </si>
  <si>
    <t>Número de laboratorios</t>
  </si>
  <si>
    <t>320201600 Áreas saneadas de cultivos de uso ilícito</t>
  </si>
  <si>
    <t>3203025 Laboratorios construidos y dotados</t>
  </si>
  <si>
    <t xml:space="preserve">Incluye la construcción de laboratorios con el fin de contribuir con la generación de información que contribuya al conocimiento de los procesos de deterioro, contaminación o  recuperación de los recursos biofísicos del país. A su vez, contiene la dotación a la infraestructura construida. </t>
  </si>
  <si>
    <t xml:space="preserve">320201800 Nuevas áreas declaradas protegidas </t>
  </si>
  <si>
    <t>3203026 Laboratorios mejorados y dotados</t>
  </si>
  <si>
    <t>Obra destinadas a corregir, renovar u optimizar las instalaciones existentes, a fin de garantizar mejores condiciones del laboratorio o a ampliar su capacidad analítica. A su vez, contiene la dotación a la infraestructura mejorada</t>
  </si>
  <si>
    <t>320201801 Áreas protegidas ampliadas</t>
  </si>
  <si>
    <t>3203027 Servicio de asistencia técnica para la operación de las Mesas Técnicas en el marco de los Consejos Ambientales Regionales</t>
  </si>
  <si>
    <t>Corresponde a sesiones de trabajo para la toma de decisiones entorno a la implementación de los Planes Estratégicos de las Macrocuencas</t>
  </si>
  <si>
    <t>Número de jornadas</t>
  </si>
  <si>
    <t>320201900 Centro de Atención y Valoración de fauna silvestre construido</t>
  </si>
  <si>
    <t>3203028 Servicio de asistencia técnica para la implementación de lineamientos priorizados de los Planes Estratégicos de las Macrocuencas</t>
  </si>
  <si>
    <t>Acciones encaminadas a implementar estrategias de corto, mediano y largo plazo concertadas con los sectores productivos, económicos y sociales que permitan la planificación del recurso hídrico en función de desarrollo sostenible del país.</t>
  </si>
  <si>
    <t xml:space="preserve">320202000 Centro de Atención y Valoración de fauna silvestre construido y dotado </t>
  </si>
  <si>
    <t>3203030 Servicio de seguimiento a los procesos de ordenación y manejo de cuencas hidrográficas</t>
  </si>
  <si>
    <t>Corresponde a sesiones de trabajo para la toma de decisiones, constatar y exigir  el cumplimiento entorno a la formulación  e implementación de instrumentos técnicos y normativos en relación con la Ordenación y Manejo Cuencas </t>
  </si>
  <si>
    <t>Número de reportes</t>
  </si>
  <si>
    <t>320202100 Centro de Atención y Valoración de fauna silvestre ampliado</t>
  </si>
  <si>
    <t>3203031 Servicio de asistencia técnica para la coordinación de las autoridades ambientales en la gestión de las aguas subterráneas</t>
  </si>
  <si>
    <t>Acciones orientadas a la asistencia técnica y reuniones de coordinación de instrumentos técnicos y normativos en relación con la formulación e implementación de los criterios de las Aguas Subterráneas del País</t>
  </si>
  <si>
    <t xml:space="preserve">Número de autoridades ambientales </t>
  </si>
  <si>
    <t>320202200 Centro de Atención y Valoración de fauna silvestre adecuado</t>
  </si>
  <si>
    <t>3203032 Servicio de asistencia técnica para la implementación de lineamientos priorizados de las Aguas Subterráneas del País</t>
  </si>
  <si>
    <t>Acciones en los niveles nacional y regional para la evaluación integrada y de las aguas subterráneas enmarcadas en los ejes temáticos de Conocimiento e Investigación, fortalecimiento institucional, Sistema de Información en Hidrología y Manejo y Aprovechamiento</t>
  </si>
  <si>
    <t>320202300 Centro de Atención y Valoración de fauna silvestre modificado</t>
  </si>
  <si>
    <t> Acciones enfocadas a definir y promover la implementación de programas y mecanismos a los diferentes usuarios del agua que permita crear un habito sostenible en el uso del agua</t>
  </si>
  <si>
    <t xml:space="preserve">320202400 Centro de Atención y Valoración de fauna silvestre con reforzamiento estructural </t>
  </si>
  <si>
    <t>3203034 Servicio de asistencia técnica para la implementación de lineamientos sobre el mejoramiento de la calidad del recurso hídrico</t>
  </si>
  <si>
    <t>Acciones regionales orientadas al ordenamiento del recurso hídrico  en cuencas priorizadas y a combatir las principales causas y contaminación del recurso.</t>
  </si>
  <si>
    <t xml:space="preserve">320202500 Centro de Atención y Valoración de flora silvestre construido </t>
  </si>
  <si>
    <t>3203035 Servicio de implementación de mecanismos y herramientas de conocimiento y manejo de la información para la Gestión Integral del Recurso Hídrico</t>
  </si>
  <si>
    <t> Planes, programas y acciones orientados al desarrollo de investigación y gestión de la información relacionada con el recurso hídrico, por parte de los  actores para la Gestión Integral del Recurso Hídrico</t>
  </si>
  <si>
    <t xml:space="preserve">Porcentaje de documentos cargados </t>
  </si>
  <si>
    <t>320202600 Centro de Atención y Valoración de flora silvestre construido y dotado</t>
  </si>
  <si>
    <t>3203037 Servicio de asistencia técnica para el desarrollo de estrategias sobre la efectiva gobernanza del agua</t>
  </si>
  <si>
    <t>Acciones orientados al desarrollo  de estrategias de la  participación, cultura del agua, manejo de conflictos y de proyectos estratégicos  asociados al agua de los actores para la Gestión Integral del Recurso Hídrico</t>
  </si>
  <si>
    <t>320202700 Centro de Atención e interpretación de la biodiversidad y sus Servicio ecosistemicos construido</t>
  </si>
  <si>
    <t>3203038 Documento de la fase de aprestamiento del plan de ordenación y manejo de cuenca hidrográfica</t>
  </si>
  <si>
    <t>Es el documento que contiene los resultados de la fase de aprestamiento del plan de ordenación y manejo de una cuenca hidrográfica, de acuerdo con la guía técnica elaborada por el MADS </t>
  </si>
  <si>
    <t>320202800 Centro de Atención e interpretación de la biodiversidad y sus Servicio ecosistemicos adecuado</t>
  </si>
  <si>
    <t>3203039 Documento de la fase de diagnóstico del plan de ordenación y manejo de cuenca hidrográfica</t>
  </si>
  <si>
    <t>Es el documento que contiene los resultados de la fase de diagnóstico del plan de ordenación y manejo de una cuenca hidrográfica, de acuerdo con la guía técnica elaborada por el MADS </t>
  </si>
  <si>
    <t>320202900 Centro de Atención e interpretación de la biodiversidad y sus Servicio ecosistemicos construido y dotado</t>
  </si>
  <si>
    <t>3203040 Documento de la fase de prospectiva y zonificación ambiental del plan de ordenación y manejo de cuenca hidrográfica</t>
  </si>
  <si>
    <t>Es el documento que contiene los resultados de la fase de prospectiva y zonificación ambiental del plan de ordenación y manejo de una cuenca hidrográfica, de acuerdo con la guía técnica elaborada por el MADS </t>
  </si>
  <si>
    <t>320203000 Centros de atención de las áreas protegidas construidos</t>
  </si>
  <si>
    <t>3203041 Documento de la fase de formulación del plan de ordenación y manejo de cuenca hidrográfica</t>
  </si>
  <si>
    <t>Es el documento que contiene los resultados de la fase de formulación del plan de ordenación y manejo de una cuenca hidrográfica, de acuerdo con la guía técnica elaborada por el MADS </t>
  </si>
  <si>
    <t>320203001 Predios saneados</t>
  </si>
  <si>
    <t>3203042 Documento del plan de ordenación y manejo de cuenca hidrográfica</t>
  </si>
  <si>
    <t>Es el documento con el que se aprueba un plan de ordenación y manejo de cuenca hidrográfica </t>
  </si>
  <si>
    <t xml:space="preserve">320203100 Acuerdos de uso con campesinos que ocupan las áreas protegidas suscritos </t>
  </si>
  <si>
    <t>3203043 Obras de recarga artificial de acuíferos</t>
  </si>
  <si>
    <t xml:space="preserve">Consiste en la construcción de obras en las zonas de recarga de acuíferos con el fin de favorecer el aumento de la infiltración del agua superficial y su recarga al acuífero </t>
  </si>
  <si>
    <t>Número de obras de recarga</t>
  </si>
  <si>
    <t>320203200 Áreas cubiertas con jornadas de vigilancia</t>
  </si>
  <si>
    <t>3203044 Servicio de delimitación de rondas hídricas.</t>
  </si>
  <si>
    <t xml:space="preserve">Incluye las acciones y elaboración de estudios  técnicos orientados a la delimitación de las rondas hídricas. </t>
  </si>
  <si>
    <t>Metros de delimitación de rondas hídricas.</t>
  </si>
  <si>
    <t>320203201 Predios saneados</t>
  </si>
  <si>
    <t>3203045 Servicio de seguimiento y control a usuarios del recurso hídrico.</t>
  </si>
  <si>
    <t xml:space="preserve">Corresponde a las actividades de seguimiento y control realizado a los usuarios del recurso hídrico. </t>
  </si>
  <si>
    <t>Número de usuarios</t>
  </si>
  <si>
    <t xml:space="preserve">320203300 Infraestructura ecoturística construida </t>
  </si>
  <si>
    <t>3203046 Servicio de dragado.</t>
  </si>
  <si>
    <t xml:space="preserve">Incluye acciones orientadas a extraer materiales o escombros de un cuerpo de agua. </t>
  </si>
  <si>
    <t xml:space="preserve">320203301 Infraestructura construida para la atención de visitantes de las áreas protegidas </t>
  </si>
  <si>
    <t>3203047 Obras y medidas de adecuación hidráulica.</t>
  </si>
  <si>
    <t xml:space="preserve">Consiste en la construcción de obras en los cauces de ríos y quebradas para la estabilización y protección de sus márgenes, con el propósito de garantizar unas condiciones de caudales y velocidad definidas  </t>
  </si>
  <si>
    <t>metros de adecuación de obras hidráulicas</t>
  </si>
  <si>
    <t>320203302 Infraestructura construida para el desarrollo de experiencias de los visitantes en las áreas protegidas</t>
  </si>
  <si>
    <t>3203048 Servicio de almacenamiento de agua</t>
  </si>
  <si>
    <t>Contempla elementos estructurales para el almacenamiento de agua de escorrentía; orientado a mantener la oferta del recurso hídrico, la sostenibilidad del recurso hídrico y la conservación de los ecosistemas que regulan la oferta hídrica en el país, considerando el agua como factor de desarrollo económico y de bienestar social.Acción incluida dentro de la Implementación del Plan de Ordenación y Manejo de Cuencas, Plan de Ordenamiento del Recurso Hídrico, Plan de Desarrollo Departamental PDD y Plan de Acción Institucional - PAI.</t>
  </si>
  <si>
    <t>Metros cúbicos de agua</t>
  </si>
  <si>
    <t>320203400 Infraestructura construida para la administración, la vigilancia y el control de las áreas protegidas</t>
  </si>
  <si>
    <t>3203049 Documentos de investigación para la gestión integral del recurso hídrico</t>
  </si>
  <si>
    <t>Acciones orientadas a la recolección, análisis y procesamiento de la información.</t>
  </si>
  <si>
    <t>320203401 Sedes administrativas construida dentro del área protegida</t>
  </si>
  <si>
    <t>3203050 Servicio de protección del recurso hídrico</t>
  </si>
  <si>
    <t>Incluye acciones orientadas a la administración y manejo de áreas de reserva hídrica o zonas de reserva natural para la protección de las fuentes hídricas.</t>
  </si>
  <si>
    <t>320203402 Infraestructura de control y vigilancia construida para el área protegida</t>
  </si>
  <si>
    <t>3203051 Documentos de lineamientos técnicos</t>
  </si>
  <si>
    <t xml:space="preserve">320203700 Extensión de cuerpos de agua recuperados </t>
  </si>
  <si>
    <t>3203052 Documentos de planeación</t>
  </si>
  <si>
    <t xml:space="preserve">320203701 Cuerpos de agua recuperados </t>
  </si>
  <si>
    <t>3203053 Documentos de política</t>
  </si>
  <si>
    <t xml:space="preserve">320203702 Estructura hidráulica construida </t>
  </si>
  <si>
    <t>3203054 Documentos normativos</t>
  </si>
  <si>
    <t>320203704 Bosque ripario recuperado</t>
  </si>
  <si>
    <t>3203055 Documentos de estudios técnicos</t>
  </si>
  <si>
    <t>320203705 Sedimentos removidos</t>
  </si>
  <si>
    <t>Metros cúbicos</t>
  </si>
  <si>
    <t>320203706 Obras biomecánicas realizadas</t>
  </si>
  <si>
    <t>3203057 Servicio de seguimiento</t>
  </si>
  <si>
    <t xml:space="preserve">Comprende el desarrollo de los procesos y acciones permanentes para conocer avances en la implementación de intervenciones publicas y sus resultados. Permite detectar diferencias, obstáculos o necesidades de ajuste en las intervenciones públicas que se están desarrollando. </t>
  </si>
  <si>
    <t>320203707 Material vegetal retirado</t>
  </si>
  <si>
    <t>3204001 Documentos de investigación para la gestión de la información y el conocimiento ambiental</t>
  </si>
  <si>
    <t xml:space="preserve">Incluye la elaboración de documentos de investigación orientados a ampliar el conocimiento científico ambiental </t>
  </si>
  <si>
    <t>320203800 Plántulas producidas</t>
  </si>
  <si>
    <t>3204002 Documentos diagnóstico para la gestión de la información y el conocimiento ambiental</t>
  </si>
  <si>
    <t xml:space="preserve">Incluye la elaboración de documentos que caracterizan y valoran el estado de la información de los recursos naturales y la biodiversidad. </t>
  </si>
  <si>
    <t>320203900 Dragado realizado</t>
  </si>
  <si>
    <t>3204003 Documento de estudios técnicos para la gestión de la información y el conocimiento ambiental</t>
  </si>
  <si>
    <t xml:space="preserve">Incluye la elaboración de estudios técnicos para la gestión de la información y el conocimiento ambiental </t>
  </si>
  <si>
    <t>320204000 Entidades asistidas</t>
  </si>
  <si>
    <t>3204004 Documentos de lineamientos técnicospara la gestión de la información y el conocimiento ambiental</t>
  </si>
  <si>
    <t>Documentos técnicos que contengan insumos y lineamientos orientados a incrementar el conocimiento de los recursos naturales y que contribuyan a su manejo, conservación y/o aprovechamiento sostenible.</t>
  </si>
  <si>
    <t>320204100 Árboles plantados</t>
  </si>
  <si>
    <t>3204006 Servicio de información en tiempo real de pronósticos y alertas</t>
  </si>
  <si>
    <t>Incluye la generación de la información del estado de la atmósfera para un período futuro y una localidad o región dada</t>
  </si>
  <si>
    <t>Número de informes</t>
  </si>
  <si>
    <t>320204200 Árboles intervenidos</t>
  </si>
  <si>
    <t>3204007 Servicio de acreditación de laboratorios y organizaciones</t>
  </si>
  <si>
    <t xml:space="preserve">Corresponde a la acreditación de la idoneidad y competencia técnica de laboratorios y organizaciones. </t>
  </si>
  <si>
    <t>320204300 Áreas con esquemas de Pago por Servicios Ambientales implementados</t>
  </si>
  <si>
    <t>3204008 Servicio de información ambiental de la Amazonía colombiana</t>
  </si>
  <si>
    <t>Incluye la generación de información ambiental de la Amazonia colombiana  para apoyar con los datos y productos de información a los tomadores de decisiones en los procesos regionales</t>
  </si>
  <si>
    <t>Número de trabajadores</t>
  </si>
  <si>
    <t>320204400 Estudios de preinversión elaborados</t>
  </si>
  <si>
    <t>3204009 Servicio de protección del conocimiento tradicional</t>
  </si>
  <si>
    <t>Acciones orientadas a la protección de los recursos biológicos de los pueblos y comunidades indígenas, afrocolombianas y locales con el fin de incrementar y a mantener la diversidad biológica</t>
  </si>
  <si>
    <t>320204500 Nuevas áreas identificadas como suelo de protección</t>
  </si>
  <si>
    <t>3204011 Servicio de educación para el trabajo en el marco de la información y el conocimiento ambiental</t>
  </si>
  <si>
    <t>Acciones encaminadas a  complementar, actualizar, suplir conocimientos y formar, en el marco de la información y el conocimiento ambiental en aspectos académicos o laborales sin sujeción al sistema de niveles y grados propios de la educación formal</t>
  </si>
  <si>
    <t>320204501 Nuevas áreas bajo suelos de protección en el Plan de Ordenamiento Territorial, Esquema de Ordenamiento Territorial y Plan Básico de Ordenamiento Territorial</t>
  </si>
  <si>
    <t>3204012 Servicio de apoyo financiero a emprendimientos</t>
  </si>
  <si>
    <t>Comprende el apoyo con recursos monetarios para el fortalecimiento y el desarrollo de emprendimientos que tienen por objetivo incrementar la investigación, el desarrollo tecnológico y la innovación en el ámbito ambiental.</t>
  </si>
  <si>
    <t>320204600 Operativos de control y vigilancia</t>
  </si>
  <si>
    <t>3204013 Servicio de modelamiento para la conservación de la biodiversidad</t>
  </si>
  <si>
    <t>Corresponde al desarrollo de procesos, procedimientos, mecanismos, herramientas y acciones que contribuyan a la colección de la información, planteamiento de hipótesis, resultados a posibles rangos y educación participativa, para la conservación de las especies de fauna, flora y ecosistemas en un área y tiempo definidos.</t>
  </si>
  <si>
    <t>320204601 Individuos decomisados</t>
  </si>
  <si>
    <t>3204014 Servicio de monitoreo de la biodiversidad y los Servicio eco sistémicos</t>
  </si>
  <si>
    <t>Corresponde a las actividades de monitoreo realizadas a la biodiversidad y los Servicio eco sistémicos</t>
  </si>
  <si>
    <t>320204700 Áreas administradas</t>
  </si>
  <si>
    <t>3204015 Servicio de monitoreo hidrológico</t>
  </si>
  <si>
    <t>320204800 Documentos de lineamientos técnicos realizados</t>
  </si>
  <si>
    <t>3204017 Servicio de monitoreo meteorológico</t>
  </si>
  <si>
    <t>Corresponde a las actividades de seguimiento orientadas a recolectar información sobre los fenómenos atmosféricos, las propiedades de la atmósfera y especialmente la relación con el tiempo atmosférico y la superficie de la tierra y los mares.</t>
  </si>
  <si>
    <t>320204900 Áreas en proceso de recuperación de cobertura vegetal</t>
  </si>
  <si>
    <t>3204018 Servicio de monitoreo sobre meteorología aeronáutica</t>
  </si>
  <si>
    <t>Corresponde a las actividades de seguimiento orientadas a estudiar la meteorología de en relación con la aviación o, en general, con la aeronáutica.</t>
  </si>
  <si>
    <t>Número de boletines</t>
  </si>
  <si>
    <t>320204901 Áreas en proceso de recuperación de cobertura vegetal aisladas</t>
  </si>
  <si>
    <t>3204019 Servicio de información en biodiversidad</t>
  </si>
  <si>
    <t>Corresponde a la información en biodiversidad suministrada por medio de los sistemas de información.</t>
  </si>
  <si>
    <t>320204902 Áreas en proceso de recuperación de cobertura vegetal monitoreadas</t>
  </si>
  <si>
    <t>3204021 Servicio de información hidrológica</t>
  </si>
  <si>
    <t>Corresponde a la información hidrológica suministrada por medio de los sistemas de información.</t>
  </si>
  <si>
    <t>Número de pronósticos de estado del tiempo</t>
  </si>
  <si>
    <t>320204903 Árboles nativos sembrados</t>
  </si>
  <si>
    <t>3204022 Servicio de información hidrogeológica</t>
  </si>
  <si>
    <t>Corresponde a la información en hidrogeológica suministrada por medio de los sistemas de información.</t>
  </si>
  <si>
    <t>Número de investigaciones</t>
  </si>
  <si>
    <t>320205000 Individuos de especies de fauna silvestre liberados</t>
  </si>
  <si>
    <t>3204023 Servicio de información meteorológica</t>
  </si>
  <si>
    <t>Corresponde a la información meteorológica suministrada por medio de los sistemas de información.</t>
  </si>
  <si>
    <t>320205001 Especies silvestres repobladas</t>
  </si>
  <si>
    <t>Acciones encaminadas a complementar, actualizar, suplir conocimientos y formar, en aspectos académicos o laborales sin sujeción al sistema de niveles y grados propios de la educación formal en temas de cultura y participación para la gestión ambiental y territorial</t>
  </si>
  <si>
    <t>320205002 Cuerpos de agua repoblados</t>
  </si>
  <si>
    <t>3204026 Servicio de educación para el trabajo en ciencias marinas</t>
  </si>
  <si>
    <t>Acciones encaminadas a complementar, actualizar, suplir conocimientos y formar, en aspectos académicos o laborales sin sujeción al sistema de niveles y grados propios de la educación formal en ciencias marinas</t>
  </si>
  <si>
    <t>Número de inventarios</t>
  </si>
  <si>
    <t>320205003 Ecosistemas naturales con población de fauna recuperada</t>
  </si>
  <si>
    <t>3204027 Servicio de Información Ambiental Marina</t>
  </si>
  <si>
    <t>Corresponde a la información ambiental marina suministrada por medio de los sistemas de información.</t>
  </si>
  <si>
    <t>320205100 Estufas ecoeficientes móviles instaladas</t>
  </si>
  <si>
    <t>3204028 Inventario de fauna</t>
  </si>
  <si>
    <t>Incluye la elaboración de un catálogo en el que se incluyen o describen las especies animales, generalmente con referencia a un lugar.</t>
  </si>
  <si>
    <t>320205200 Documentos de planeación elaborados</t>
  </si>
  <si>
    <t>3204029 Inventario de flora</t>
  </si>
  <si>
    <t>Incluye la elaboración de un catálogo en el que  se incluyen o describen las especies vegetales que se hallan en un determinado lugar.</t>
  </si>
  <si>
    <t>320205300 Documentos de lineamientos técnicos realizados</t>
  </si>
  <si>
    <t>3204030 Inventario forestal</t>
  </si>
  <si>
    <t xml:space="preserve">Incluye la elaboración de un catálogo en el que  se incluyen o describen las variables de interés nacional de los bosques naturales de Colombia </t>
  </si>
  <si>
    <t>Número de colecciones biológicas</t>
  </si>
  <si>
    <t>320205400 Documentos de política realizados</t>
  </si>
  <si>
    <t>3204031 Inventario de recursos naturales</t>
  </si>
  <si>
    <t xml:space="preserve">Incluye la elaboración de un catálogo en el que  se incluyen o describen los bienes y Servicio generados por la naturaleza sin alteración por parte del ser humano </t>
  </si>
  <si>
    <t>Número de bases de datos</t>
  </si>
  <si>
    <t>320205500 Documentos de investigación elaborados</t>
  </si>
  <si>
    <t>3204032 Colecciones biológicas</t>
  </si>
  <si>
    <t>Incluye la preservación de las colecciones biológicas del país ya que representan la diversidad biológica , y la distribución de las especies en las diferentes regiones y ecosistemas.</t>
  </si>
  <si>
    <t>320205600 Personas capacitadas con educación informal</t>
  </si>
  <si>
    <t>3204033 Bases de datos de monitoreo ambiental</t>
  </si>
  <si>
    <t>Corresponde al desarrollo de acciones orientadas a la actualización y suministro de la información ambiental.</t>
  </si>
  <si>
    <t>320205700 Asistencias técnicas realizadas</t>
  </si>
  <si>
    <t>3204034 Estaciones de investigación mejoradas y dotadas</t>
  </si>
  <si>
    <t xml:space="preserve">Pendiente </t>
  </si>
  <si>
    <t>320206000 Áreas en proceso de restauración</t>
  </si>
  <si>
    <t>3204035 Laboratorios mejorados</t>
  </si>
  <si>
    <t xml:space="preserve">Obra destinadas a corregir, renovar u optimizar las instalaciones existentes, a fin de garantizar mejores condiciones del laboratorio con el fin de fortalecer la generación de la información científica. </t>
  </si>
  <si>
    <t>320206001 Áreas en proceso restauración aisladas</t>
  </si>
  <si>
    <t>3204036 Laboratorios mejorados y dotados</t>
  </si>
  <si>
    <t>Obra destinadas a corregir, renovar u optimizar las instalaciones existentes, a fin de garantizar mejores condiciones del laboratorio con el fin de fortalecer la generación de la información científica. A su vez, contiene la dotación a la infraestructura mejorada</t>
  </si>
  <si>
    <t>320206002 Áreas en proceso restauración en mantenimiento</t>
  </si>
  <si>
    <t>3204037 Laboratorios construidos</t>
  </si>
  <si>
    <t>Incluye la construcción de laboratorios en terrenos no construidos o cuya área esté libre por autorización de demolición total con el fin de contribuir con la generación de información científica</t>
  </si>
  <si>
    <t>320206003 Áreas en proceso de restauración con seguimiento</t>
  </si>
  <si>
    <t>3204038 Laboratorios construidos y dotados</t>
  </si>
  <si>
    <t xml:space="preserve">Incluye la construcción de laboratorios en terrenos no construidos o cuya área esté libre por autorización de demolición total con el fin de contribuir con la generación de información científica de carácter ambiental. A su vez, contiene la dotación a la infraestructura construida. </t>
  </si>
  <si>
    <t>320206004 Árboles nativos sembrados</t>
  </si>
  <si>
    <t>3204039 Estaciones meteorológicas construidas</t>
  </si>
  <si>
    <t xml:space="preserve">Incluye la construcción de estaciones meteorológicas en terrenos no construidos o cuya área esté libre por autorización de demolición total. </t>
  </si>
  <si>
    <t>320206005 Colmenas establecidas</t>
  </si>
  <si>
    <t>3204040 Estaciones meteorológicas construidas y dotadas</t>
  </si>
  <si>
    <t xml:space="preserve">Incluye la construcción de estaciones meteorológicas en terrenos no construidos o cuya área esté libre por autorización de demolición total. A su vez, contiene la dotación a la infraestructura construida. </t>
  </si>
  <si>
    <t>320206200 Centros construidos y dotados</t>
  </si>
  <si>
    <t>3204041 Estaciones meteorológicas mejoradas</t>
  </si>
  <si>
    <t>Obras destinadas a corregir, renovar u optimizar las instalaciones existentes, a fin de garantizar mejores condiciones de la estación meteorológica</t>
  </si>
  <si>
    <t>320206300 Centros adecuados y dotados</t>
  </si>
  <si>
    <t>3204042 Estaciones meteorológicas mejoradas y dotadas</t>
  </si>
  <si>
    <t>Obras destinadas a corregir, renovar u optimizar las instalaciones existentes, a fin de garantizar mejores condiciones de la estación meteorológica. A su vez, contiene la dotación a la infraestructura mejorada</t>
  </si>
  <si>
    <t>320206400 Centros dotados</t>
  </si>
  <si>
    <t>3204043 Servicio de información de datos climáticos y monitoreo</t>
  </si>
  <si>
    <t>Corresponde a las actividades para la obtención de datos, información, monitoreo, análisis y realización de pronósticos, predicciones y alertas en temas climáticos.</t>
  </si>
  <si>
    <t xml:space="preserve">320300100 Documentos de lineamientos técnicos realizados </t>
  </si>
  <si>
    <t>3204046 Documentos de estudios técnicos para la planificación sectorial y la gestión ambiental</t>
  </si>
  <si>
    <t>Incluye la elaboración de documentos técnicos, mapas técnicos, planes, informes, escenarios y estudios para  sustentar decisiones para la planificación sectorial y la gestión ambiental.</t>
  </si>
  <si>
    <t>320300101 Documentos de lineamientos técnicos para la implementación de la Política Nacional de Gestión Integral del Recurso Hídrico adoptados</t>
  </si>
  <si>
    <t>3204048 Servicio de administracion de los sistemas de información para los procesos de toma de decisiones</t>
  </si>
  <si>
    <t>Corresponde  a los sistemas de información  que se utilizan para la administración de datos, información, entre otros, para los procesos de toma de decisiones. </t>
  </si>
  <si>
    <t>Número de sistemas de información</t>
  </si>
  <si>
    <t>320300102 Documentos de lineamientos técnicos para el manejo y planificación de acuíferos formulados</t>
  </si>
  <si>
    <t>3204049 Servicio de divulgación deconocimiento generado para la Planificación sectorial y la gestión ambiental.</t>
  </si>
  <si>
    <t>Acciones orientadas a divulgar o difundir el conocimiento generado para la planificación sectorial y la gestión ambiental</t>
  </si>
  <si>
    <t>Número de documentos divulgados</t>
  </si>
  <si>
    <t>320300103 Documentos  de lineamientos técnicos para el manejo y planificación del recurso hídrico formulados</t>
  </si>
  <si>
    <t>3204050 Servicio de modelación hidrodinámica</t>
  </si>
  <si>
    <t>Incluye las acciones orientadas al diseño, implementación e integración de modelos hidrológicos, así como también la elaboración de mapas de inundación.</t>
  </si>
  <si>
    <t>Número de modelos integrados</t>
  </si>
  <si>
    <t>320300104 Documentos de lineamientos técnicos para el manejo y planificación de cuencas hidrográficas formulados</t>
  </si>
  <si>
    <t>3204051 Servicio de monitoreo y seguimiento hidrometeorológico</t>
  </si>
  <si>
    <t>Corresponde a las actividades de seguimiento orientadas a recolectar información sobre cantidad de lluvia, temperatura y otros datos utilizados por los modelos de predicción para producir guías de crecidas repentinas e información sobre amenazas.</t>
  </si>
  <si>
    <t>320300105 Documentos con lineamientos para el mejoramiento de la calidad del recurso hídrico elaborados</t>
  </si>
  <si>
    <t>3204052 Laboratorio de calidad ambiental acreditado</t>
  </si>
  <si>
    <t>Incluye todas las actividades de desarrollo de buenas prácticas del laboratorio (BPL), así como la adquisición, operación, manteniemineto y actualización para fortalecer física y tecnologicamente el laboratorio de calidad ambiental, así como la acreditación del mismo.</t>
  </si>
  <si>
    <t>320300204 Documentos de la fase de prospectiva y zonificación del plan de ordenación y manejo ambiental de cuenca hidrográfica elaborados</t>
  </si>
  <si>
    <t>3204053 Servicio de monitoreo y seguimiento de la biodiversidad y los servicios ecosistémicos</t>
  </si>
  <si>
    <t xml:space="preserve">Corresponde a las actividades de monitoreo y seguimiento realizado al estado, la dinámica y la estabilidad de los recursos naturales, de las coberturas de la tierra, los glaciares, los suelos, la biodiversidad y los servicios ecosistémicos,   mediante la toma,  recolección y análisis de datos e información. </t>
  </si>
  <si>
    <t>Reporte de monitoreo</t>
  </si>
  <si>
    <t>320300205 Documentos de la fase de formulación del plan de ordenación y manejo ambiental de cuenca hidrográfica elaborados</t>
  </si>
  <si>
    <t>3204054 Documentos de política para la gestión de  la información y el conocimiento  ambiental  </t>
  </si>
  <si>
    <t>Incluye la realización de documentos de política orientados la generación y gestión del información y el conocimiento  ambiental</t>
  </si>
  <si>
    <t>320300206 Documentos con el componente programático  del plan de ordenación y manejo ambiental de cuenca hidrográfica elaborados</t>
  </si>
  <si>
    <t>3204055 Servicio de información para la gestión del conocimiento  ambiental implementado </t>
  </si>
  <si>
    <t>Corresponde al proceso que asegura la disposición de la información de manera accesible, confiable y oportuna; así como también corresponde a la información en componentes funcionales y no funcionales de intercambio de información entre los subsistemas que conforman el SIAC;  mecanismos de articulación del SAIC con otros sistemas de información sectoriales del país; desarrollar metodologias y aplicativos para el intercambio y consolidación de información geográfica y alfanumerica ambiental a nivel regional; y capacitar a entidades del SINA en la articulación  de los sistemas de información ambiental nacional con el regional</t>
  </si>
  <si>
    <t>Número de sistemas</t>
  </si>
  <si>
    <t>320300207 Documentos de planeación del plan de ordenación y manejo ambiental de cuenca hidrográfica elaborados</t>
  </si>
  <si>
    <t>3204056 Servicios tecnológicos para el sistema de información ambiental </t>
  </si>
  <si>
    <t>Corresponde al proceso que asegura la disponibilidad del servicio a través de la infraestructura informática tanto de software como de hardware, y lo relacionado con seguridad informática; así como también corresponde a las acciones orientadas a crear, mantener y actualizar la información del SIAC, asi como la socialización y difusión de las misma. Hace referencia a información ambiental nacional y regional actualizada en el portal y visor del SIAC; divulgación y capacitación de los servicios de información ambiental; actualización del PETI sectorial; ventanilla VITAL.</t>
  </si>
  <si>
    <t>Número de instrumentos</t>
  </si>
  <si>
    <t>320300208 Documentos de la fase de aprestamiento del Plan de manejo ambiental de acuífero elaborados</t>
  </si>
  <si>
    <t>3204057 Servicio de educación formal en el marco de la información y el conocimiento ambiental</t>
  </si>
  <si>
    <t>Acciones encaminadas a formar integralmente a los educandos, en una secuencia regular de ciclos electivos en el marco del conocimiento ambiental , con sujeción a pautas curriculares progresivas, y conducente a grados y títulos.</t>
  </si>
  <si>
    <t>320300209 Documentos de la fase de diagnóstico del Plan de manejo ambiental de acuífero elaborados</t>
  </si>
  <si>
    <t>3204058 Servicio de información sobre deforestación implementado</t>
  </si>
  <si>
    <t>Corresponde al proceso que asegura la disposición de la información de manera accesible, confiable y oportuna.</t>
  </si>
  <si>
    <t>Número de sistemasde información</t>
  </si>
  <si>
    <t>320300210 Documentos con plan de manejo ambiental de acuíferos formulados</t>
  </si>
  <si>
    <t>3204059 Jardín botánico construido</t>
  </si>
  <si>
    <t xml:space="preserve">Incluye la construcción de Jardines botánicos en terrenos no construidos o cuya área esté libre por autorización de demolición total con el fin de contribuir con el mantenimiento de colecciones de flora y la generación de información científica. </t>
  </si>
  <si>
    <t>Número de jardines botánicos</t>
  </si>
  <si>
    <t>320300211 Documento con plan de manejo de microcuencas formulados</t>
  </si>
  <si>
    <t>3204060 Jardín botánico construido y dotado</t>
  </si>
  <si>
    <t>Incluye la construcción de Jardines botánicos en terrenos no construidos o cuya área esté libre por autorización de demolición total con el fin de contribuir con el mantenimiento de colecciones de flora y la generación de información científica. Se incluye la dotación para la operación</t>
  </si>
  <si>
    <t>320300212 Documentos de los planes estratégicos de macrocuencas elaborados</t>
  </si>
  <si>
    <t>3204061 Jardín botánico mejorado</t>
  </si>
  <si>
    <t>Obras destinadas a corregir, renovar u optimizar las instalaciones existentes, a fin de garantizar mejores condiciones de los jardines Botánicos con el fin de mantener colecciones de flora y fortalecer la generación de la información científica relacionada.</t>
  </si>
  <si>
    <t>320300213 Documento con plan ordenamiento del recurso hídrico formulados</t>
  </si>
  <si>
    <t>3204062 Jardín botánico mejorado y dotado</t>
  </si>
  <si>
    <t>Obras destinadas a corregir, renovar u optimizar las instalaciones existentes, a fin de garantizar mejores condiciones del Jardín Botánico con el fin de mantener colecciones de flora y fortalecer la generación de la información científica. A su vez, contiene la dotación de la infraestructura mejorada.</t>
  </si>
  <si>
    <t>320300214 Cuerpos de agua con plan de ordenamiento del recurso hídrico formulados</t>
  </si>
  <si>
    <t>3204063 Documentos de investigación</t>
  </si>
  <si>
    <t>320300215 Documentos de planeación para el ordenamiento del recurso hídrico formulados</t>
  </si>
  <si>
    <t>3204064 Documentos de estudios técnicos</t>
  </si>
  <si>
    <t>320300216 Documentos de planeación para el ordenamiento del recurso hídrico en formulación</t>
  </si>
  <si>
    <t>3204065 Documentos de lineamientos técnicos</t>
  </si>
  <si>
    <t>320300200 Documentos de planeación realizados</t>
  </si>
  <si>
    <t>3204066 Servicio de educación para el trabajo</t>
  </si>
  <si>
    <t>Acciones orientadas al desarrollo de programas educativos para complementar, actualizar, suplir conocimientos y formar, en aspectos acade´micos o laborales y conduce a la obtencio´n de certificados de aptitud ocupacional, y se estructura en curri´culos flexibles sin sujecio´n al sistema de niveles y grados propios de la educacio´n formal</t>
  </si>
  <si>
    <t>320300201 Documentos de planeación para la ordenación y manejo ambiental de cuenca hidrográfica adoptados</t>
  </si>
  <si>
    <t>3204067 Bases de datos</t>
  </si>
  <si>
    <t>Consiste en la elaboración de conjuntos o estructuras de información a partir de la recolección de datos</t>
  </si>
  <si>
    <t>320300202 Documentos de la fase de aprestamiento del plan de ordenación y manejo ambiental de cuenca hidrográfica elaborados</t>
  </si>
  <si>
    <t>3204068 Documentos de política</t>
  </si>
  <si>
    <t>320300203 Documentos de la fase diagnóstico del plan de ordenación y manejo ambiental de cuenca hidrográfica elaborados</t>
  </si>
  <si>
    <t>3204069 Servicio de educación formal</t>
  </si>
  <si>
    <t>Acciones orientadas al desarrollo de programas educativos bajo una secuencia regular de ciclos lectivos, con sujeción a pautas curriculares progresivas, y conducente a grados y títulos</t>
  </si>
  <si>
    <t>320300300 Documentos de política realizados</t>
  </si>
  <si>
    <t>Contiene estudios y documentos técnicos producidos en temas de ordenamiento ambiental y territorial, que sirven de insumo para la elaboración de los planes de ordenamiento territorial.</t>
  </si>
  <si>
    <t xml:space="preserve">320300301 Documentos de política relacionados con la calidad, uso y planificación del recurso hídrico  formulados </t>
  </si>
  <si>
    <t>3205002 Documentos de estudios técnicos para el ordenamiento ambiental territorial</t>
  </si>
  <si>
    <t xml:space="preserve">Incluye la elaboración de estudios técnicos para el ordenamiento ambiental del territorio </t>
  </si>
  <si>
    <t xml:space="preserve">320300302 Documentos de política relacionados con la calidad, uso y planificación del recurso hídrico adoptados </t>
  </si>
  <si>
    <t>3205006 Servicio de divulgación y socialización ambiental en el marco del ordenamiento ambiental territorial</t>
  </si>
  <si>
    <t>Acciones orientadas a difundir la información ambiental en el marco del ordenamiento ambiental territorial </t>
  </si>
  <si>
    <t>Número de campañas</t>
  </si>
  <si>
    <t>320300400 Resoluciones relacionadas con calidad, uso y planificación del recurso hídrico expedidas</t>
  </si>
  <si>
    <t>3205007 Servicio de generación de alertas tempranas para la gestión del riesgo de desastres</t>
  </si>
  <si>
    <t xml:space="preserve">Acciones orientadas a la generación de alertas para la gestión del riesgo de desastres </t>
  </si>
  <si>
    <t>Número de sistemas de alertas temprana</t>
  </si>
  <si>
    <t xml:space="preserve">320300500 Documentos de estudios técnicos realizados </t>
  </si>
  <si>
    <t>3205008 Servicio de dragado</t>
  </si>
  <si>
    <t xml:space="preserve">Incluye acciones orientadas a extraer materiales o escombros de un cuerpo de agua determinado </t>
  </si>
  <si>
    <t>Volumen de dragado</t>
  </si>
  <si>
    <t>320300501 Documentos de estudios técnicos con determinación de objetivos de calidad para cuerpos de agua adoptados</t>
  </si>
  <si>
    <t>3205009 Barreras rompe vientos recuperadas</t>
  </si>
  <si>
    <t>Hileras de árboles o arbustos de diferentes alturas que forman una barrera, opuesta a la dirección predominante del viento, alta y densa que se constituye en un obstáculo al paso del viento.</t>
  </si>
  <si>
    <t>Volúmen de barreras rompevientos</t>
  </si>
  <si>
    <t xml:space="preserve">320300502 Documentos de estudios técnicos  con determinación de metas de reducción de carga contaminante para cuerpos de agua publicados </t>
  </si>
  <si>
    <t>3205010 Obras para estabilización de taludes</t>
  </si>
  <si>
    <t xml:space="preserve">Acciones orientadas a estabilizar los taludes cuando la obra se ve afectada por fallas o movimientos de tierra.  </t>
  </si>
  <si>
    <t>Metros de obras</t>
  </si>
  <si>
    <t xml:space="preserve">320300503 Documentos de estudios técnicos con información consolidada de demanda de agua en cuerpos de agua publicados </t>
  </si>
  <si>
    <t>3205014 Obras para el control de erosión</t>
  </si>
  <si>
    <t xml:space="preserve">Incluye la realización de obras para el control de erosión, como el tratamiento de regulación de la escorrentía superficial, los tratamientos de regulación de flujo hídrico en cauces, el incremento de infiltraciones, los tratamientos lineales, y la reforestación. </t>
  </si>
  <si>
    <t>320300504 Documentos de estudios técnicos con los resultados de la implementación del plan de ordenamiento del recurso hídrico publicados</t>
  </si>
  <si>
    <t>3205015 Documentos de estudios técnicos hidrológicos e hidrogeológicos</t>
  </si>
  <si>
    <t>Incluye la elaboración de estudios técnicos hidrológicos e hidrogeológicos como insumo para la toma de decisiones</t>
  </si>
  <si>
    <t>320300505 Documentos de estudios técnicos de la evaluación Regional del Agua realizados</t>
  </si>
  <si>
    <t>3205016 Documentos de estudios técnicos geológicos y geotécnicos</t>
  </si>
  <si>
    <t>Incluye la elaboración de estudios técnicos  geológicos y geotécnicos como insumo para la toma de decisiones</t>
  </si>
  <si>
    <t xml:space="preserve">320300600 Talleres realizados </t>
  </si>
  <si>
    <t xml:space="preserve">Incluye la elaboración de documentos con diseños de obra para la reducción y mitigación del riesgo de desastres </t>
  </si>
  <si>
    <t>320300800 Visitas de monitoreo del recurso hídrico</t>
  </si>
  <si>
    <t>3205018 Obras para la prevención y control de movimientos en masa</t>
  </si>
  <si>
    <t xml:space="preserve">Incluye la realización de obras para la prevención y control de remoción en masa, como la remoción y conformación del perfil del terreno o talud, el control de drenaje e infiltración, las estructuras de contención para suelos o rocas, la protección de la superficie del talud con vegetación, la protección de la superficie del talud con revestimiento, y las obras para el control de material caído o deslizado. </t>
  </si>
  <si>
    <t>Metros cuadrados de área intervenida</t>
  </si>
  <si>
    <t xml:space="preserve">320300801 Inventario de puntos de agua subterránea </t>
  </si>
  <si>
    <t>3205019 Obras para el control y reducción de la erosión</t>
  </si>
  <si>
    <t xml:space="preserve">Incluye la realización de obras para el control de erosión, como el tratamiento de regulación de la escorrentía superficial, los tratamientos de regulación de flujo hídrico en cauces, el incremento de infiltraciones, los tratamienos lineales, y la reforestacion. </t>
  </si>
  <si>
    <t>320300802 Documentos con Informes de visitas de monitoreo realizados</t>
  </si>
  <si>
    <t>3205020 Obras para reducir el riesgo de avenidas torrenciales</t>
  </si>
  <si>
    <t xml:space="preserve">Incluye la construcción de obras para el control de avenidas torrenciales, como diques transversales, diques longitudinales y reforestacion de cauces ,obras para disipación de energía </t>
  </si>
  <si>
    <t>Número de obras</t>
  </si>
  <si>
    <t>320300900 Documento con análisis de la calidad del recurso hídrico</t>
  </si>
  <si>
    <t>3205021 Obras de infraestructura para mitigación y atención a desastres</t>
  </si>
  <si>
    <t>Intervenciones que buscan mitigar el nivel de riesgo de desastres naturales existente en un determinado sitio, mediante acciones de carácter estructural – físicas que conlleven a corregir o reducir las condiciones de amenaza, cuando esto sea posible, y/o la vulnerabilidad de los elementos expuestos.</t>
  </si>
  <si>
    <t>Número de obras de infraestructura</t>
  </si>
  <si>
    <t>320300901 Parámetros físico químicos en cuerpos de agua analizados</t>
  </si>
  <si>
    <t>3205022 Servicios de asistencia técnica en planificación y gestión ambiental.</t>
  </si>
  <si>
    <t>Acciones orientadas a asistir a las entidades del Sistema Nacional Ambiental-SINA, Sistema Nacional de Gestión del Riesgo de Desastres SNGRD y Sector Productivo a través de datos, información y conocimiento para sustentar la toma de decisiones en la planificación sectorial y gestión ambiental.</t>
  </si>
  <si>
    <t>320300902 Parámetros físico químicos en vertimientos analizados</t>
  </si>
  <si>
    <t>3205023 Servicio de educación informal en el marco de la reducción y mitigación del riesgo de desastres</t>
  </si>
  <si>
    <t>Acciones orientadas a generar espacios para brindar capacitación y educación informal tanto a las comunidades como a las autoridades ambientales en el marco de la reducción y mitigación del riesgo de desastres.</t>
  </si>
  <si>
    <t xml:space="preserve">320300903 Puntos de monitoreo de parámetros de calidad de agua in situ </t>
  </si>
  <si>
    <t>3205024 Estudios de preinversión</t>
  </si>
  <si>
    <t>Incluye la realización de los estudios requeridos en las fases de prefactibilidad, factibilidad  o definitivos.</t>
  </si>
  <si>
    <t>320301000 Modelos hidráulicos implementados</t>
  </si>
  <si>
    <t>3205025 Servicio de recuperación de escosistemas endémicos</t>
  </si>
  <si>
    <t>Incluye las actividades para recuperar la capacidad de ecosistemas propios de detarminada región con la finalidad de devolver el balance ecológico junto con sus servicios.</t>
  </si>
  <si>
    <t>320301100 Modelos hidrológicos implementados</t>
  </si>
  <si>
    <t>3205026 Servicio de recuperación de cuerpos de agua lénticos y lóticos</t>
  </si>
  <si>
    <t>Incluye las actividades para recuperar la capacidad hidráulica de cuerpos de agua con miras a recuperar sus servicios ecosistémicos, entre ellos, prevención de inundaciones, oferta de agua,  la capacidad de almacenamiento de agua, conectividad hidráulica, hábitat para especies acuáticas.</t>
  </si>
  <si>
    <t>Kilómetros de cuerpos de agua</t>
  </si>
  <si>
    <t>320301200 Modelos de calidad del agua y de sedimentos implementados</t>
  </si>
  <si>
    <t>3205027 Obras para la prevención y control de inundaciones</t>
  </si>
  <si>
    <t>Incluye la construcción o mejoramiento de obras para el control de inundaciones y estabilización de las márgenes de los cauces como ampliación de cauces, diques, muros de contención, canalización.</t>
  </si>
  <si>
    <t>Kilómetros de obras de prevención y control hidráulico</t>
  </si>
  <si>
    <t>320301400 Estaciones hidrológicas construidas</t>
  </si>
  <si>
    <t>3205028 Obras de adecuación hidráulica</t>
  </si>
  <si>
    <t>Consiste en la construcción o mejoramiento de obras en los cauces de ríos y quebradas para estabilización y protección de sus márgenes con el propósito de garantizar las condiciones de caudal y velocidad definida.</t>
  </si>
  <si>
    <t>Kilómetros de obras de adecuación hidráulica</t>
  </si>
  <si>
    <t>320301401 Estaciones hidrológicas construidas en operación</t>
  </si>
  <si>
    <t>3205029 Documentos de lineamientos técnicos</t>
  </si>
  <si>
    <t xml:space="preserve">320301500 Estaciones hidrológicas mejoradas </t>
  </si>
  <si>
    <t>3205030 Documentos de estudios técnicos</t>
  </si>
  <si>
    <t>320301501 Estaciones hidrológicas mejoradas en operación</t>
  </si>
  <si>
    <t>3205031 Servicio de asistencia técnica</t>
  </si>
  <si>
    <t xml:space="preserve">320301600 Estaciones meteorológicas construidas </t>
  </si>
  <si>
    <t>3205032 Servicio de educación informal</t>
  </si>
  <si>
    <t>320301601 Estaciones meteorológicas en operación</t>
  </si>
  <si>
    <t>3205033 Documentos de política</t>
  </si>
  <si>
    <t>Documentos cuyo objetivo es dar una orientación frente a las acciones que el Estado debe realizar en el marco de un tema específico con el fin de suplir necesidades de interés público, materializables en los diferentes instrumentos de planeación y presupuestación.</t>
  </si>
  <si>
    <t xml:space="preserve">Número de documentos </t>
  </si>
  <si>
    <t xml:space="preserve">320301700 Estaciones meteorológicas mejoradas </t>
  </si>
  <si>
    <t>3205034 Documentos normativos</t>
  </si>
  <si>
    <t>Incluye la realización de documentos de contenido normativo para la reglamentación de los proyectos de ley presentados y aprobados.</t>
  </si>
  <si>
    <t>320301701 Estaciones meteorológicas mejoradas en operación</t>
  </si>
  <si>
    <t>3206001 Documentos de planeación para la gestión del cambio climático y un desarrollo bajo en carbono y resiliente al clima</t>
  </si>
  <si>
    <t>320301800 Estaciones de monitoreo de agua subterránea construidas</t>
  </si>
  <si>
    <t>320302100 Mapa ambientales temáticos realizados</t>
  </si>
  <si>
    <t>3206003 Servicio de apoyo técnico para la implementación de acciones de mitigación y adaptación al cambio climático</t>
  </si>
  <si>
    <t>Incluye la formulación e implementación de intervenciones locales orientadas a reducir las emisiones de gases efecto invernadero, aumento de sumideros de carbono, reducción de la vulnerabilidad, y aumento de la resiliencia a la variabilidad y al cambio climático. </t>
  </si>
  <si>
    <t>Número de pilotos</t>
  </si>
  <si>
    <t>320302101 Mapa de vulnerabilidad de acuíferos a la contaminación realizado</t>
  </si>
  <si>
    <t>3206004 Servicio de educación informal en gestión del cambio climático para un desarrollo bajo en carbono y resiliente al clima</t>
  </si>
  <si>
    <t xml:space="preserve">Incluye la realización de jornadas de educación, información, y sensibilización dirigidos a diferentes públicos. </t>
  </si>
  <si>
    <t>320302102 Mapa de usuarios del recurso hídrico realizado</t>
  </si>
  <si>
    <t>3206005 Servicio de divulgación de la información en gestión del cambio climático para un desarrollo bajo en carbono y resiliente al clima</t>
  </si>
  <si>
    <t>Acciones orientadas a difundir la información en gestión del cambio climático para un desarrollo bajo en carbono y resiliente al clima</t>
  </si>
  <si>
    <t>320302103 Mapa de calidad del agua realizado</t>
  </si>
  <si>
    <t>Incluye todas las acciones promovidas por el gobierno nacional  intra e interinstitucional para incidir con consideraciones de cambio climático en los instrumentos de planeación de los sectores y territorios</t>
  </si>
  <si>
    <t>Número de espacios</t>
  </si>
  <si>
    <t>320302104 Mapa de oferta hídrica realizado</t>
  </si>
  <si>
    <t>Incluye la realización de jornadas de educación, información y sensibilización dirigidos al público de educación formal.</t>
  </si>
  <si>
    <t>320302200 Mapa de zonificación ambiental del plan de ordenación y manejo ambiental de cuenca hidrográfica elaborado</t>
  </si>
  <si>
    <t>3206011 Servicios de información para el seguimiento a los compromisos en cambio climático de Colombia</t>
  </si>
  <si>
    <t xml:space="preserve">Incluye el monitoreo de los indicadores y variables climáticas, gases efecto invernadero, y vulnerabilidad, ex ante y . </t>
  </si>
  <si>
    <t>320302300 Sistema de almacenamiento de datos hidrometeorológicos en funcionamiento</t>
  </si>
  <si>
    <t>3206012 Servicio de identificaciónde sitios generadores de gases efecto invernadero</t>
  </si>
  <si>
    <t>Acciones orientadas a identificar los sitios (fogones campesinos) generadores de gases de efecto invernadero con combustión incompleta</t>
  </si>
  <si>
    <t>Número de inventarios de fuentes fijas</t>
  </si>
  <si>
    <t>320302301 Serie de datos generada</t>
  </si>
  <si>
    <t>3206013 Servicio de rehabilitación de ecosistemas con especies forestales dendroenergeticas</t>
  </si>
  <si>
    <t>Incluye el establecimiento de plantaciones forestales con especies dendroenergéticas, para proveer energía calórica (Leña) y rehabilitar ecosistemas degradados por acciones antrópicas.</t>
  </si>
  <si>
    <t>320302400 Laboratorios construidos</t>
  </si>
  <si>
    <t>3206014 Servicio de producción de plántulas en viveros</t>
  </si>
  <si>
    <t xml:space="preserve">320302500 Laboratorios construidos y dotados </t>
  </si>
  <si>
    <t>Incluye la construcción e instalación de estufas artesanales fijas, que disminuye el consumo de leña y la emisión de gases de efecto invernadero - GEI</t>
  </si>
  <si>
    <t>320302600 Laboratorios mejorados y dotados</t>
  </si>
  <si>
    <t>3206017 Estufa ecoeficiente móvil</t>
  </si>
  <si>
    <t>Incluye el montaje e instalación de estufas artesanales móviles, que disminuyen el consumo de leña y la emisión de gases de efecto invernadero - GEI.</t>
  </si>
  <si>
    <t>320302700 Jornadas de trabajo  realizadas</t>
  </si>
  <si>
    <t>3206018 Servicio de educación informal</t>
  </si>
  <si>
    <t>320302800 Proyectos de los Planes Estratégicos de las Macrocuencas incorporados en la planificación sectorial</t>
  </si>
  <si>
    <t>3206019 Servicio de educación formal</t>
  </si>
  <si>
    <t xml:space="preserve">320303000 Reportes de avance de la formulación e implementación de los procesos de Ordenación y Manejo Cuencas </t>
  </si>
  <si>
    <t>3207001 Documentos de lineamientos técnicos para la gestión integral de mares, costas y recursos acuáticos</t>
  </si>
  <si>
    <t>Documentos cuyo objetivo es describir y explicar instrumentos, estándares, requisitos y condiciones necesarias para llevar a cabo un proceso o actividad para la gestión integral de mares, costas y recursos acuáticos.</t>
  </si>
  <si>
    <t>320303100 Autoridades Ambientales competentes asistidas en la gestión de aguas subterráneas</t>
  </si>
  <si>
    <t>3207002 Documentos normativos para la gestión integral de mares, costas y recursos acuáticos</t>
  </si>
  <si>
    <t xml:space="preserve">Incluye la realización de los documentos de contenido normativo para la reglamentación de las políticas ambientales y demás lineamientos técnicos del programa de  gestión integral de mares, costas y recursos acuáticos </t>
  </si>
  <si>
    <t xml:space="preserve">320303200 Proyectos para la gestión y evaluación integrada de las Aguas Subterráneas del País formulados </t>
  </si>
  <si>
    <t>3207003 Documentos de planeación para la gestión integral de mares, costas y recursos acuáticos</t>
  </si>
  <si>
    <t>Incluyen estrategias que permiten alcanzar una meta a futuro con acciones establecidas para el adecuado manejo integrado de las zonas marino-costeras y recursos acuáticos del país</t>
  </si>
  <si>
    <t xml:space="preserve">320303300 Proyectos para la promoción del uso eficiente y ahorro del agua formulados  </t>
  </si>
  <si>
    <t>3207004 Documentos de investigación para la gestión integral de mares, costas y recursos acuáticos</t>
  </si>
  <si>
    <t xml:space="preserve">Incluye la elaboración de documentos  de investigación orientados a la  gestión integral de mares, costas y recursos acuáticos </t>
  </si>
  <si>
    <t>320303400 Proyectos  para el mejoramiento de la calidad del recurso hídrico formulados</t>
  </si>
  <si>
    <t>3207005 Cartografía para la zonificación costera</t>
  </si>
  <si>
    <t xml:space="preserve">Incluye las acciones orientadas al estudio y a la elaboración de mapas a diferentes escalas de la zonificación costera. </t>
  </si>
  <si>
    <t>320303500 Datos cargados en el sistema de información del recurso hídrico por las Autoridades Ambientales</t>
  </si>
  <si>
    <t>3207007 Servicio de asistencia técnica para el ordenamiento ambiental de las zonas litorales</t>
  </si>
  <si>
    <t xml:space="preserve">Acciones orientadas a apoyar a las autoridades ambientales en la implementación de conceptos técnicos para el ordenamiento ambiental de las zonas litorales </t>
  </si>
  <si>
    <t>Número de entidades asistidas</t>
  </si>
  <si>
    <t>320303700 Asistencias técnicas a las  Autoridades Ambientales competentes en las estrategias de gobernanza del agua  realizadas</t>
  </si>
  <si>
    <t>3207008 Servicio de asistencia técnica para la generación de cadenas productivas sostenibles</t>
  </si>
  <si>
    <t xml:space="preserve">Acciones orientadas a apoyar a las autoridades ambientales, sectores productivos, y a la comunidad general para la generación de cadenas productivas sostenibles </t>
  </si>
  <si>
    <t>Número de cadenas productivas</t>
  </si>
  <si>
    <t xml:space="preserve">320303800 Documento de la fase de aprestamiento del plan de ordenación y manejo de cuenca hidrográfica elaborado </t>
  </si>
  <si>
    <t>3207009 Servicio de control de especies invasoras y exóticas</t>
  </si>
  <si>
    <t xml:space="preserve">Acciones orientadas a controlar las especies exóticas de carácter invasor que han sido capaces de colonizar efectivamente un área en donde se ha interrumpido la barrera geográfica y se han propagado sin asistencia humana directa en hábitats naturales o seminaturales y cuyo establecimiento y expansión amenaza los ecosistemas, hábitats o especies con daños económicos o ambientales. </t>
  </si>
  <si>
    <t>Número de instrumentos de planeación</t>
  </si>
  <si>
    <t xml:space="preserve">320303900 Documento de la fase de diagnóstico del plan de ordenación y manejo de cuenca hidrográfica elaborado </t>
  </si>
  <si>
    <t>3207012 Gaviones construidos</t>
  </si>
  <si>
    <t>Kilómetros cuadrados de gaviones</t>
  </si>
  <si>
    <t xml:space="preserve">320304000 Documento de la fase de prospectiva y zonificación ambiental del plan de ordenación y manejo de cuenca hidrográfica elaborado </t>
  </si>
  <si>
    <t>3207013 Diques construidos</t>
  </si>
  <si>
    <t xml:space="preserve">Muro grueso construido para contener la fuerza del agua, embalsarla o reducirla </t>
  </si>
  <si>
    <t>Metros de diques</t>
  </si>
  <si>
    <t xml:space="preserve">320304100 Documento de la fase de formulación del plan de ordenación y manejo de cuenca hidrográfica elaborado </t>
  </si>
  <si>
    <t>3207014 Espolones construidos</t>
  </si>
  <si>
    <t>Muro construido en la orilla de un río o del mar para contener las aguas</t>
  </si>
  <si>
    <t>Metros de espolones</t>
  </si>
  <si>
    <t>320304101 Mapas de zonificación ambiental del plan de ordenación y manejo de cuenca hidrográfica elaborados</t>
  </si>
  <si>
    <t>3207015 Tajamares construidos</t>
  </si>
  <si>
    <t xml:space="preserve">Construcción curva o en ángulo para cortar la corriente del agua o repartir la presión de la misma </t>
  </si>
  <si>
    <t>Metros de tajamares</t>
  </si>
  <si>
    <t>320304102 Mapas ambientales temáticos elaborados</t>
  </si>
  <si>
    <t>3207017 Servicio de articulación institucional para el manejo marino, costero e insular colombiano</t>
  </si>
  <si>
    <t>Acciones orientadas a generar espacios institucionales e interinstitucionales que permitan el adecuado manejo de las zonas marino costeras e insulares colombianas</t>
  </si>
  <si>
    <t xml:space="preserve">320304200 Documento del plan de ordenación y manejo de cuenca hidrográfica adoptado </t>
  </si>
  <si>
    <t>3207018 Servicio de educación informal en el marco de la conservación de la biodiversidad, el manejo y uso sostenible de los ecosistemas marino-costeros</t>
  </si>
  <si>
    <t>Acciones orientadas a generar espacios para brindar capacitación y educación informal tanto a las comunidades como a las autoridades ambientales en el manejo, conservación y uso sostenible de los ecosistemas marino-costeros.</t>
  </si>
  <si>
    <t xml:space="preserve">320304300 Obras de recarga de acuíferos construidas </t>
  </si>
  <si>
    <t>3207019 Servicio de restauración ecológica de ecosistemas de manglar</t>
  </si>
  <si>
    <t>Acciones orientadas a restablecer los ecosistemas de manglares degradados a una condición similar al ecosistema pre disturbio respecto a su composición, estructura y funcionamiento. Además el ecosistema resultante debe ser un sistema auto sostenible y debe garantizar la conservación de especies, del ecosistema en general así como de la mayoría de sus bienes y servicio.</t>
  </si>
  <si>
    <t>Hectáreas de manglar</t>
  </si>
  <si>
    <t>320304302 Obras de recarga de acuíferos con mantenimiento</t>
  </si>
  <si>
    <t>3207020 Servicio de restauración ecológica de ecosistemas de coral</t>
  </si>
  <si>
    <t>Acciones encaminadas a recuperar la cobertura de los arrecifes coralinos en zonas con afectaciones generadas por fenómenos naturales y antrópicos. Como resultado se contribuirá con la recuperación de la biodiversidad y los servicios ecosistémicos a largo plazo.</t>
  </si>
  <si>
    <t>Hectáreas de corales</t>
  </si>
  <si>
    <t xml:space="preserve">320304301 Extensión de las obras de recarga de acuíferos construidas </t>
  </si>
  <si>
    <t>Metros cuadrados</t>
  </si>
  <si>
    <t>3207021 Documentos de lineamientos técnicos</t>
  </si>
  <si>
    <t>320304400 Rondas hídricas delimitadas.</t>
  </si>
  <si>
    <t xml:space="preserve">Metros </t>
  </si>
  <si>
    <t>3207022 Documentos normativos</t>
  </si>
  <si>
    <t>320304401 Mapas con delimitación de rondas hídricas.</t>
  </si>
  <si>
    <t>3207023 Documentos de planeación</t>
  </si>
  <si>
    <t>320304402 Documento con la definición de usos del suelo en las rondas hídricas.</t>
  </si>
  <si>
    <t>3207024 Documentos de investigación</t>
  </si>
  <si>
    <t xml:space="preserve">320304500 Usuarios del recurso hídrico registados </t>
  </si>
  <si>
    <t>3207025 Servicio de asistencia técnica</t>
  </si>
  <si>
    <t>320304501 Visitas de seguimiento y control realizadas</t>
  </si>
  <si>
    <t>3207026 Servicio de control</t>
  </si>
  <si>
    <t>Incluye el desarrollo de acciones para ordenar correctivos sobre las actividades irregulares y las situaciones críticas de orden jurídico, contable, económico o administrativo, según corresponda</t>
  </si>
  <si>
    <t>320304600 Dragado realizado.</t>
  </si>
  <si>
    <t>3207027 Servicio de educación informal</t>
  </si>
  <si>
    <t xml:space="preserve">320304601 Material de dragado dispuesto. </t>
  </si>
  <si>
    <t>3208001 Servicio de coordinación de alianzas nacionales para el desarrollo de la política nacional ambiental y la participación en la gestión ambiental</t>
  </si>
  <si>
    <t xml:space="preserve">Incluye la realización de alianzas nacionales y territoriales, interministeriales, intersectoriales e intrainstitucionales, y público privadas, orientadas al fomento de  la educación ambiental y la participación </t>
  </si>
  <si>
    <t>Número de alianzas</t>
  </si>
  <si>
    <t>320304700 Obras hidráulicas construidas.</t>
  </si>
  <si>
    <t>3208002 Servicio de apoyo financiero para la calidad de la educación ambiental en la educación superior</t>
  </si>
  <si>
    <t xml:space="preserve">Corresponde a los estímulos económicos entregados a las instituciones educativas de educación superior </t>
  </si>
  <si>
    <t>Número de estímulos</t>
  </si>
  <si>
    <t>320304702 Extensión de obras de adecuación hidráulica</t>
  </si>
  <si>
    <t>3208003 Servicio de apoyo técnico para lainternacionalización de la educación ambiental y la participación</t>
  </si>
  <si>
    <t>Corresponde al apoyo del Ministerio de Ambiente y Desarrollo Sostenible para la suscripción de convenios internacionales de cooperación o intercambio de conocimientos en materia de educación ambiental.</t>
  </si>
  <si>
    <t>Número de convenios</t>
  </si>
  <si>
    <t>320304800 Agua almacenada</t>
  </si>
  <si>
    <t>3208005 Documentos de lineamientos técnicos para el desarrollo de la política nacional ambiental y la participación en la gestión ambiental</t>
  </si>
  <si>
    <t>320304801 Reservorio construido</t>
  </si>
  <si>
    <t>Acciones encaminadas a implementar estrategias educativo ambientales y de participación en las entidades territoriales, por medio de los proyectos ambientales implementados </t>
  </si>
  <si>
    <t>Número de estrategias</t>
  </si>
  <si>
    <t>320304900 Documentos de investigación elaborados</t>
  </si>
  <si>
    <t>3208007 Servicio de apoyo técnico a proyectos de educación ambiental y participación con enfoque diferencial</t>
  </si>
  <si>
    <t>Acciones orientadas a apoyar la implementación de los proyectos de educación ambiental y la participación con enfoque diferencial </t>
  </si>
  <si>
    <t>320305000 Áreas protegidas</t>
  </si>
  <si>
    <t>3208008 Servicio de divulgación de la información de la política nacional de educación ambiental y participación</t>
  </si>
  <si>
    <t xml:space="preserve">Acciones orientadas a difundir la información ambiental en el marco de la educación ambiental </t>
  </si>
  <si>
    <t>320305100 Documentos de lineamientos técnicos realizados</t>
  </si>
  <si>
    <t>3208009 Documentos de lineamientos técnicos para el desarrollo de la política ambiental</t>
  </si>
  <si>
    <t>Documentos cuyo objetivo es describir y explicar instrumentos, estándares, requisitos y condiciones necesarias para llevar a cabo un proceso o actividad.</t>
  </si>
  <si>
    <t>320305200 Documentos de planeación elaborados</t>
  </si>
  <si>
    <t>3208010 Servicio de educación informal ambiental</t>
  </si>
  <si>
    <t>Acciones orientadas hacia el conocimiento de la biodiversidad y los ecosistemas para sensibilizar a la población despertar la conciencia ambiental.</t>
  </si>
  <si>
    <t>320305300 Documentos de política elaborados</t>
  </si>
  <si>
    <t>3208011 Documentos de política para la participación de la ciudadanía en gestión ambiental</t>
  </si>
  <si>
    <t>Incluye la realización de documentos de política nacional orientados al fortalecimiento de la la participación ciudadana en la gestión ambiental.</t>
  </si>
  <si>
    <t>320305400 Documentos normativos elaborados</t>
  </si>
  <si>
    <t>3208012 Servicio de acompañamiento a la implementación de estrategias de educación ambiental</t>
  </si>
  <si>
    <t>Corresponde al acompañamiento al desarrollo de acciones y planes de educación ambiental que responden al cumplimiento de la política y programa nacional de educación ambiental.</t>
  </si>
  <si>
    <t>320305500 Documentos de estudios técnicos elaborados</t>
  </si>
  <si>
    <t>Corresponde al acompañamiento para la elaboración de planes, proyectos y acciones de participación ciudadana en la gestión ambiental,  que responden al cumplimiento  lineamientos y políticas en la materia.</t>
  </si>
  <si>
    <t>320305600 Asistencias Técnicas Realizadas</t>
  </si>
  <si>
    <t>3208014 Documentos de lineamientos técnicos</t>
  </si>
  <si>
    <t>320305700 Acciones de Seguimiento Desarrolladas</t>
  </si>
  <si>
    <t>3208015 Servicio de asistencia técnica</t>
  </si>
  <si>
    <t xml:space="preserve">320400100 Documentos de investigación realizados </t>
  </si>
  <si>
    <t>3208016 Servicio de educación informal</t>
  </si>
  <si>
    <t xml:space="preserve">320400101 Documentos de investigación para consolidar el informe del estado de los recursos naturales en la Amazonía colombiana realizados </t>
  </si>
  <si>
    <t>3208017 Documentos de política</t>
  </si>
  <si>
    <t>320400102 Documentos de investigación sobre biodiversidad, ecosistemas y sus Servicio elaborados</t>
  </si>
  <si>
    <t>3299009 Sedes construidas</t>
  </si>
  <si>
    <t>Corresponde a un inmueble resultado de obras de edificación en terrenos no construidos o cuya área esté libre por autorización de demolición total. No incluye la dotación del inmueble (Corresponde a la licencia de construcción por obra nueva)</t>
  </si>
  <si>
    <t>Número de sedes</t>
  </si>
  <si>
    <t>320400103 Documentos de investigación sobre biodiversidad, ecosistemas y sus Servicio publicados</t>
  </si>
  <si>
    <t>3299010 Sedes ampliadas</t>
  </si>
  <si>
    <t>Corresponde a un inmueble existente sobre el cual se adelantan obras para incrementar el área construida, entendiéndose por área construida la parte edificada que corresponde a la suma de las superficies de los pisos, excluyendo azoteas y áreas sin cubrir o techar (Corresponde a la licencia de construcción por ampliación)</t>
  </si>
  <si>
    <t>320400104 Documentos de investigación sobre recursos forestales elaborados</t>
  </si>
  <si>
    <t>3299011 Sedes adecuadas</t>
  </si>
  <si>
    <t>Corresponde a un inmueble sobre el cual se adelantan obras de edificación que cambian, de manera completa o parcial, el uso del inmueble, garantizando la permanencia Corresponde al proceso de ajuste o adaptación de un sitio, espacio o área de una edificación con las especificaciones técnicas requeridas para el desarrollo de las actividades definidas en dicho espacio, así mismo incluye acciones de remodelación o ampliación o modificación, entendidas como cambios de la infraestructura o arquitectura de una edificación.</t>
  </si>
  <si>
    <t xml:space="preserve">320400105 Documentos de investigación sobre recursos forestales publicados </t>
  </si>
  <si>
    <t>3299012 Sedes modificadas</t>
  </si>
  <si>
    <t>Corresponde a un inmueble sobre el cual se realizan obras para variar su diseño arquitectónico o estructural, sin incrementar su área construida (Corresponde a la licencia de construcción por modificación)</t>
  </si>
  <si>
    <t xml:space="preserve">320400106 Documentos de investigación sobre conservación de suelos elaborados </t>
  </si>
  <si>
    <t>3299013 Sedes restauradas</t>
  </si>
  <si>
    <t>Corresponde a un inmueble sobre el cual se adelantan obras tendientes a recuperarlo y adaptarlo, con el fin de conservar y revelar sus valores estéticos, históricos y simbólicos. Incluye las liberaciones o demoliciones parciales de agregados de los bienes de interés cultural aprobadas por parte de la autoridad competente en los anteproyectos que autoricen su intervención (Corresponde a la licencia de construcción por restauración)</t>
  </si>
  <si>
    <t xml:space="preserve">320400107 Documentos de investigación sobre conservación de suelos publicados </t>
  </si>
  <si>
    <t>3299014 Sedes con reforzamiento estructural</t>
  </si>
  <si>
    <t>Corresponde a un inmueble sobre el cual se procede a intervenir o reforzar la estructura, con el objeto de acondicionarlo a niveles adecuados de seguridad sismo resistente de acuerdo con los requisitos (Corresponde a la licencia de construcción por reforzamiento estructural)</t>
  </si>
  <si>
    <t xml:space="preserve">320400108 Documentos de investigación sobre hidrología elaborados </t>
  </si>
  <si>
    <t>3299015 Sedes adquiridas</t>
  </si>
  <si>
    <t>Corresponde a un inmueble que es adquirido, cuya función es la prestación de servicios asociados a la entidad pública que lo adquiere.</t>
  </si>
  <si>
    <t xml:space="preserve">320400109 Documentos de investigación sobre meteorología elaborados </t>
  </si>
  <si>
    <t>3299016 Sedes mantenidas</t>
  </si>
  <si>
    <t>Corresponde a un inmueble sobre el cual se realizan obras, operaciones y cuidados necesarios para su conservación en buen estado o en una situación determinada para evitar su degradación. Cuando es adelantado con recursos de inversión debe asegurarse de cumplir con las condiciones de una operación de inversión pública, es decir, debe orientarse a crear, ampliar o mantener la capacidad de producción del Estado, y contar claramente con actividades limitadas en el tiempo.</t>
  </si>
  <si>
    <t>320400110 Documentos de Investigación del Instituto Humboldt en el marco del Sistema Nacional de Innovación, Ciencia y Tecnología realizados</t>
  </si>
  <si>
    <t>3299044 Derecho de beneficio fiduciario</t>
  </si>
  <si>
    <t>Derecho que adquieren las entidades públicas una vez realizan la transferencia de la propiedad y posesión de los bienes inmuebles que se encuentran en las áreas de los proyectos a cargo de la Agencia Nacional Inmobiliaria Virgilio Barco Vargas y/o de la entrega de los recursos apropiados cuyo objeto se refiera a inversión en infraestructura de sedes administrativas, en las modalidades de adquisición de terrenos, edificaciones o construcción de edificaciones.</t>
  </si>
  <si>
    <t>Número de certificados</t>
  </si>
  <si>
    <t xml:space="preserve">320400200 Documentos diagnóstico realizados </t>
  </si>
  <si>
    <t>3299052 Servicio de Gestión Documental</t>
  </si>
  <si>
    <t>Conjunto de actividades administrativas y técnicas tendientes a la planificación, manejo y organización de la documentación producida y recibida por las entidades, desde su origen hasta su destino final, con el objeto de facilitar su utilización y conservación. (Ley 594 de 2000)</t>
  </si>
  <si>
    <t xml:space="preserve">320400201 Informes de los ambientes y recursos marinos y costeros de Colombia elaborados </t>
  </si>
  <si>
    <t>3299054 Documentos de Planeación</t>
  </si>
  <si>
    <t>Consiste en la formulación de documentos cuyo objetivo es plasmar una visión de futuro a nivel país, entidad territorial, comunidad, sector, región, entidad o cualquier nivel de desagregación que se requiera, plasmando elementos como objetivos, estrategias, metas e indicadores.</t>
  </si>
  <si>
    <t>320400202 Documentos diagnóstico sobre el estado de la biodiversidad elaborados</t>
  </si>
  <si>
    <t>3299056 Documentos normativos</t>
  </si>
  <si>
    <t>320400203 Documentos diagnóstico sobre valoración integral de bienes y Servicio eco sistémicos elaborados</t>
  </si>
  <si>
    <t>3299057 Documentos de lineamientos técnicos</t>
  </si>
  <si>
    <t>320400204 Documentos diagnóstico sobre modelos y prácticas productivos sostenibles elaborados</t>
  </si>
  <si>
    <t>3299058 Servicio de educación informal para la gestión administrativa</t>
  </si>
  <si>
    <t>Hace referencia a las acciones de formación o capacitaciones orientadas a fortalecer las competencias y la calidad de los conocimientos para la gestión de las entidades.</t>
  </si>
  <si>
    <t>320400205 Documentos diagnóstico sobre dinámicas socioculturales, gobernanza y gobernabilidad étnica y conocimiento tradicional elaborados</t>
  </si>
  <si>
    <t>3299060 Servicio de implementación sistemas de gestión</t>
  </si>
  <si>
    <t>Contempla actividades de apoyo, necesarias para el diseño e implementación de sistemas de gestión y de desempeño institucional en el marco del Modelo Integrado de Planeación y Gestión - MIPG, para generar capacidades instaladas en los servidores públicos en temas como: Fortalecimiento Institucional, Planeación Estratégica, simplificación de procesos, identificación y manejo de riesgos, controles, diseño e implementación de indicadores de gestión y gestión del conocimiento.</t>
  </si>
  <si>
    <t xml:space="preserve">320400300 Documentos de estudios realizados </t>
  </si>
  <si>
    <t>3299061 Sede construida y dotada</t>
  </si>
  <si>
    <t>Corresponde a un inmueble resultado de obras de edificación en terrenos no construidos o cuya área esté libre por autorización de demolición total. Incluye la dotación del inmueble (Corresponde a la licencia de construcción por obra nueva)</t>
  </si>
  <si>
    <t xml:space="preserve">320400301 Documentos de estudios nacionales de aspectos climáticos de agua, suelo, aire, y bosques publicados </t>
  </si>
  <si>
    <t>3299062 Servicios de información actualizados</t>
  </si>
  <si>
    <t>Corresponde al proceso que mejora en la disposición de la información para asegurar que sea accesible, confiable y oportuna.</t>
  </si>
  <si>
    <t>320400400 Documentos de lineamientos técnicos  para la evaluación de los recursos naturales elaborados</t>
  </si>
  <si>
    <t>3299063 Servicios de información implementados</t>
  </si>
  <si>
    <t>320400600 Informes de pronósticos y alertas generados</t>
  </si>
  <si>
    <t>3299064 Documento para la planeación estratégica en TI</t>
  </si>
  <si>
    <t xml:space="preserve">Consiste en la formulación de documento cuyo objetivo es definir el marco de referencia que alinea la gestión de tecnologías  de la información con las políticas de estado y sectoriales que se definan en la materia. </t>
  </si>
  <si>
    <t>320400601 Reportes de pronósticos y alertas generados</t>
  </si>
  <si>
    <t>3299065 Servicios tecnológicos</t>
  </si>
  <si>
    <t>Corresponde al proceso que asegura la disponibilidad del servicio a través de la infraestructura informática tanto de software como de hardware, y lo relacionado con seguridad informática.</t>
  </si>
  <si>
    <t>Porcentaje de capacidad</t>
  </si>
  <si>
    <t xml:space="preserve">320400602 Boletines de pronósticos y alertas generados </t>
  </si>
  <si>
    <t>3299066 Documentos de investigación</t>
  </si>
  <si>
    <t>Consiste en la formulación de documentos generados a partir de la recolección, análisis y procesamiento de la información.</t>
  </si>
  <si>
    <t>320400700 Laboratorios y organizaciones acreditadas</t>
  </si>
  <si>
    <t>3299067 Documentos de política</t>
  </si>
  <si>
    <t>Documentos cuyo objetivo es dar una orientación frente a las acciones que el Estado debe realizar en el marco de una tema específico con el fin de suplir necesidades de interés público, materializables en los diferentes instrumentos de planeación y presupuestación.</t>
  </si>
  <si>
    <t>320400701 Laboratorios acreditadas</t>
  </si>
  <si>
    <t>3299068 Sedes dotadas</t>
  </si>
  <si>
    <t>Incluye el proceso de identificación de necesidades de dotación administrativa, así como la adquisición e instalación de mobiliario y demás elementos no consumibles requeridos para apoyar la prestación de los servicios de la entidad.</t>
  </si>
  <si>
    <t>320400702 Organizaciones acreditadas</t>
  </si>
  <si>
    <t>3299069 Servicio de asistencia técnica</t>
  </si>
  <si>
    <t>Corresponde al acompañamiento, asesoría y seguimiento técnico para la transferencia de herramientas de gestión y conocimiento a entidades nacionales y territoriales en procedimientos y trámites institucionales de competencia de la entidad.</t>
  </si>
  <si>
    <t xml:space="preserve">320400703 Investigaciones realizadas </t>
  </si>
  <si>
    <t>3299070 Servicio de gestión documental actualizado</t>
  </si>
  <si>
    <t>Contempla el conjunto de actividades administrativas y técnicas tendientes a la actualización de los procesos, procedimientos de la planificación, manejo y organización de la documentación producida y recibida por las entidades, desde su origen hasta su destino final, con el objeto de facilitar su utilización y conservación.</t>
  </si>
  <si>
    <t xml:space="preserve">320400800 Datos actualizados incorporados en las bases de datos </t>
  </si>
  <si>
    <t>3299071 Servicio de actualización del Sistema de Gestión</t>
  </si>
  <si>
    <t>Contempla actividades de apoyo, necesarias para la actualización del sistema de gestión y de desempeño institucional en el marco del Modelo Integrado de Planeación y Gestión – MIPG.</t>
  </si>
  <si>
    <t xml:space="preserve">320400801 Mapas generados </t>
  </si>
  <si>
    <t>320400802 Especímenes incorporados a las colecciones</t>
  </si>
  <si>
    <t xml:space="preserve">320400900 Documentos de protección del conocimiento tradicional realizados </t>
  </si>
  <si>
    <t xml:space="preserve">320400901 Documentos con los indicadores de bienestar para pueblos indígenas diseñados </t>
  </si>
  <si>
    <t xml:space="preserve">320400902 Documentos con los indicadores de bienestar para pueblos indígenas poblados elaborados </t>
  </si>
  <si>
    <t>320401100 Trabajadores formados en educación para el trabajo</t>
  </si>
  <si>
    <t>320401101 Investigaciones realizadas</t>
  </si>
  <si>
    <t xml:space="preserve">320401102 Sistemas productivos evaluados </t>
  </si>
  <si>
    <t>320401103 Alianzas estratégicas ambientales realizadas</t>
  </si>
  <si>
    <t xml:space="preserve">320401104 Familias beneficiadas </t>
  </si>
  <si>
    <t xml:space="preserve">320401200 Emprendimientos apoyados </t>
  </si>
  <si>
    <t xml:space="preserve">320401201 Investigaciones realizadas </t>
  </si>
  <si>
    <t>320401202 Iniciativas de desarrollo tecnológico e innovaciones formuladas</t>
  </si>
  <si>
    <t xml:space="preserve">320401300 Modelos para la conservación de la biodiversidad realizados </t>
  </si>
  <si>
    <t>320401301 Investigaciones realizadas</t>
  </si>
  <si>
    <t xml:space="preserve">320401302 Sistemas productivos evaluados </t>
  </si>
  <si>
    <t>320401303 Alianzas estratégicas ambientales realizadas</t>
  </si>
  <si>
    <t xml:space="preserve">320401304 Familias beneficiadas </t>
  </si>
  <si>
    <t xml:space="preserve">320401305 Áreas monitoreadas </t>
  </si>
  <si>
    <t xml:space="preserve">320401400 Documentos con Informes de monitoreo elaborados </t>
  </si>
  <si>
    <t>320401401 Documentos con Informes de visitas de monitoreo hidrometereológico realizados</t>
  </si>
  <si>
    <t xml:space="preserve">320401500 Estaciones de monitoreo operando de forma continua </t>
  </si>
  <si>
    <t>320401501 Reporte actualizado de operación y mantenimiento de la red hidrológica</t>
  </si>
  <si>
    <t>320401502 Reporte actualizado de los datos de monitoreo de aguas subterraneas registrados en el SIRH</t>
  </si>
  <si>
    <t xml:space="preserve">320401503 Informe anual con resultados de la campaña de monitoreo de calidad del agua </t>
  </si>
  <si>
    <t>320401700 Estaciones de monitoreo operando de forma continua</t>
  </si>
  <si>
    <t>320401701 Reporte actualizado de operación y mantenimiento de la red meteorológica</t>
  </si>
  <si>
    <t xml:space="preserve">320401800 Investigaciones sobre meteorología aeronáutica realizadas </t>
  </si>
  <si>
    <t>320401801 Sistemas de información sobre deforestación operando</t>
  </si>
  <si>
    <t xml:space="preserve">320401900 Informes de biodiversidad anuales realizados </t>
  </si>
  <si>
    <t xml:space="preserve">320401901 Informes de biodiversidad anuales publicados </t>
  </si>
  <si>
    <t xml:space="preserve">320401902 Sistemas de información en biodiversidad operando </t>
  </si>
  <si>
    <t xml:space="preserve">320402100 Boletines hidrológicos publicados </t>
  </si>
  <si>
    <t xml:space="preserve">320402101 Sistemas de información  hidrológica  operando </t>
  </si>
  <si>
    <t xml:space="preserve">320402200 Investigaciones hidrogeológicas realizadas </t>
  </si>
  <si>
    <t xml:space="preserve">320402201 Sistemas de información hidrogeológica operando </t>
  </si>
  <si>
    <t xml:space="preserve">320402300 Pronósticos de estado del tiempo divulgados </t>
  </si>
  <si>
    <t xml:space="preserve">320402301 Sistemas de información meteorológica operando </t>
  </si>
  <si>
    <t>320402500 Personas formadas  en cultura y participación para la gestión ambiental y territorial</t>
  </si>
  <si>
    <t xml:space="preserve">320402600 Personas formadas en ciencias marinas </t>
  </si>
  <si>
    <t xml:space="preserve">320402601 Capacitaciones en ciencias marinas ofrecidas </t>
  </si>
  <si>
    <t xml:space="preserve">320402700 Informes publicados </t>
  </si>
  <si>
    <t>320402701 Sistemas de Información Ambiental Marina en funcionamiento</t>
  </si>
  <si>
    <t xml:space="preserve">320402800 Inventario de fauna realizado </t>
  </si>
  <si>
    <t xml:space="preserve">320402900 Inventario de flora realizado </t>
  </si>
  <si>
    <t xml:space="preserve">320403000 Inventario forestal realizado </t>
  </si>
  <si>
    <t>320403100 Inventario de recursos naturales</t>
  </si>
  <si>
    <t>320403200 Colecciones biológicas preservadas</t>
  </si>
  <si>
    <t>320403300 Bases de datos de monitoreo ambiental actualizadas</t>
  </si>
  <si>
    <t>320403400 Estaciones de investigación adecuadas y dotadas para el desempeño de la investigación mejoradas y dotadas</t>
  </si>
  <si>
    <t>320403500 Laboratorios mejorados</t>
  </si>
  <si>
    <t xml:space="preserve">320403600 Laboratorios mejorados y dotados </t>
  </si>
  <si>
    <t xml:space="preserve">320403700 Laboratorios construidos </t>
  </si>
  <si>
    <t xml:space="preserve">320403800 Laboratorios construidos y dotados </t>
  </si>
  <si>
    <t xml:space="preserve">320403900 Estaciones meteorológicas construidas </t>
  </si>
  <si>
    <t xml:space="preserve">320404000 Estaciones meteorológicas construidas y dotadas </t>
  </si>
  <si>
    <t>320404100 Estaciones meteorológicas mejoradas</t>
  </si>
  <si>
    <t xml:space="preserve">320404200 Estaciones meteorológicas mejoradas y dotadas </t>
  </si>
  <si>
    <t>320404300 Boletines de datos climáticos elaborados</t>
  </si>
  <si>
    <t>320404600 Documentos técnicos para la planificación sectorial y la gestión ambiental formulado</t>
  </si>
  <si>
    <t>320404601 Mapas elaborados</t>
  </si>
  <si>
    <t>320404800 Sistemas de información fortalecidos y actualizados</t>
  </si>
  <si>
    <t>320404900 Documentos divulgados</t>
  </si>
  <si>
    <t>320404901 Campañas realizadas</t>
  </si>
  <si>
    <t>320405000 Modelos integrados a la plataforma de pronosticos FEWS</t>
  </si>
  <si>
    <t>320405001 Mapas de inundación</t>
  </si>
  <si>
    <t xml:space="preserve">320405100 Estaciones de monitoreo operando de forma continua </t>
  </si>
  <si>
    <t>320405101 Reporte actualizado de operación y mantenimiento de la red hidrometeorológica</t>
  </si>
  <si>
    <t>320405200 Laboratorio de calidad ambiental acreditado</t>
  </si>
  <si>
    <t>320405201 Documento de buenas prácticas de laboratorio (BPL) implementado</t>
  </si>
  <si>
    <t>320405300 Reporte de monitoreo,  seguimiento y evaluación de los ecosistemas Elaborado</t>
  </si>
  <si>
    <t>320405301 Documento de reporte de datos, información y aplicaciones  del Cubo de datos actualizado</t>
  </si>
  <si>
    <t>320405302 Cubo de datos actualizado</t>
  </si>
  <si>
    <t>320405303 Informe de Monitoreo de bosques y carbono Elaborado</t>
  </si>
  <si>
    <t xml:space="preserve">320405304 Boletines de alertas tempranas de deforestación emitidos </t>
  </si>
  <si>
    <t>320405305 Informe de monitoreo de la dinámica de los glaciares de Colombia Elaborado</t>
  </si>
  <si>
    <t>320405306 Informe del estado de la degradación de los suelos Elaborado</t>
  </si>
  <si>
    <t>320405307 Informe del estado de la estabilidad  de las tierras Elaborado</t>
  </si>
  <si>
    <t>320405400 Documentos de Política elaborados</t>
  </si>
  <si>
    <t>320405500 Sistemas de información implementados</t>
  </si>
  <si>
    <t>320405600 Instrumentos tecnológicos implementados </t>
  </si>
  <si>
    <t>320405700 Personas formados en educación formal</t>
  </si>
  <si>
    <t>320405800 Sistema de información sobre deforestación implementado</t>
  </si>
  <si>
    <t>320405801 Boletines sobre deforestación publicados</t>
  </si>
  <si>
    <t>320405900 Jardines botánicos construidos</t>
  </si>
  <si>
    <t>320406000 Jardines botánicos construidos y dotados</t>
  </si>
  <si>
    <t>320406100 Jardines botánicos mejorados</t>
  </si>
  <si>
    <t>320406200 Jardines botánicos mejorados y dotados</t>
  </si>
  <si>
    <t>320406300 Documentos de investigación elaborados</t>
  </si>
  <si>
    <t>320406400 Documentos de estudios técnicos elaborados</t>
  </si>
  <si>
    <t>320406500 Documentos de lineamientos técnicos realizados</t>
  </si>
  <si>
    <t>320406600 Personas capacitadas con educación para el trabajo</t>
  </si>
  <si>
    <t>320406700 Bases de datos producidas</t>
  </si>
  <si>
    <t>320406800 Documentos de política elaborados</t>
  </si>
  <si>
    <t>320406900 Personas capacitadas con educación formal</t>
  </si>
  <si>
    <t>320500100 Documentos de lineamientos técnicos realizados</t>
  </si>
  <si>
    <t xml:space="preserve">320500101 Documentos de lineamientos técnicos con directrices ambientales y de gestión del riesgo en la planificación ambiental territorial formulados </t>
  </si>
  <si>
    <t xml:space="preserve">320500102 Documentos de lineamientos técnicos con directrices ambientales y de gestión del riesgo en la planificación ambiental territorial divulgados </t>
  </si>
  <si>
    <t>320500200 Documentos de estudios técnicos para el conocimiento y reducción del riesgo de desastres elaborados</t>
  </si>
  <si>
    <t>320500600 Campañas realizadas</t>
  </si>
  <si>
    <t>320500700 Sistemas de alertas tempranas para la gestión del riesgo de desastres diseñados</t>
  </si>
  <si>
    <t>320500701 Sistemas de alertas tempranas para la gestión del riesgo de desastres implementados</t>
  </si>
  <si>
    <t>320500702 Sistemas de alertas tempranas para la gestión del riesgo de desastres fortalecidos</t>
  </si>
  <si>
    <t>320500703 Protocolos de actuación y respuesta para la mitigación de impactos por eventos de contaminación atmosférica elaborados</t>
  </si>
  <si>
    <t xml:space="preserve">320500800 Dragado realizado </t>
  </si>
  <si>
    <t>Volúmen</t>
  </si>
  <si>
    <t>320500900 Barreras rompe vientos</t>
  </si>
  <si>
    <t>320501000 Obras para estabilización de taludes realizadas</t>
  </si>
  <si>
    <t>Longitud</t>
  </si>
  <si>
    <t xml:space="preserve">320501400 Área reforestada </t>
  </si>
  <si>
    <t xml:space="preserve">Área </t>
  </si>
  <si>
    <t>320501401 Área estabilizada</t>
  </si>
  <si>
    <t xml:space="preserve">320501402 Estructura construida </t>
  </si>
  <si>
    <t>320501403 Población directa beneficiada</t>
  </si>
  <si>
    <t xml:space="preserve">320501500 Documentos de estudios técnicos hidrológicos e hidrogeológicos elaborados </t>
  </si>
  <si>
    <t xml:space="preserve">320501600 Documentos de estudios técnicos geológicos y geotécnicos elaborados </t>
  </si>
  <si>
    <t xml:space="preserve">320501700 Documentos con diseños de obra para la reducción y mitigación del riesgo de desastres elaborados </t>
  </si>
  <si>
    <t xml:space="preserve">320501800 Área intervenida </t>
  </si>
  <si>
    <t>320501801 Extensión de obras para estabilización de taludes construidas</t>
  </si>
  <si>
    <t>Metros lineales</t>
  </si>
  <si>
    <t>320501802 Extensión de obras de para estabilización de taludes construidas</t>
  </si>
  <si>
    <t>320501803 Extensión de obras para estabilización de taludes construidas</t>
  </si>
  <si>
    <t>320501804 Estructura construida</t>
  </si>
  <si>
    <t xml:space="preserve">320501805 Área sembrada con cobertura vegetal </t>
  </si>
  <si>
    <t xml:space="preserve">320501900 Área intervenida </t>
  </si>
  <si>
    <t>320501901 Estructura construida</t>
  </si>
  <si>
    <t>320501902 Extensión de obras para el control y reducción de la erosión construidas</t>
  </si>
  <si>
    <t xml:space="preserve">320501904 Personas beneficiadas </t>
  </si>
  <si>
    <t>320501903 Área reforestada</t>
  </si>
  <si>
    <t>320502000 Obras para reducir el riesgo de avenidas torrenciales construidas</t>
  </si>
  <si>
    <t>320502001  Sección hidraulica conformada</t>
  </si>
  <si>
    <t>320502003 Diques construidos</t>
  </si>
  <si>
    <t>320502004 Obras de disipación de energía construidas</t>
  </si>
  <si>
    <t>320502002 Área sembrada</t>
  </si>
  <si>
    <t xml:space="preserve">320502100 Obras de infraestructura para mitigación y atención a desastres realizadas </t>
  </si>
  <si>
    <t>320502101 Hexápodos instalados</t>
  </si>
  <si>
    <t>320502102 Espolones adecuados</t>
  </si>
  <si>
    <t>320502103 Canalizaciones realizadas</t>
  </si>
  <si>
    <t>320502104 Protecciones de Orilla realizadas</t>
  </si>
  <si>
    <t>320502105 Destronques realizados</t>
  </si>
  <si>
    <t>320502106 Diques construidos</t>
  </si>
  <si>
    <t>320502107 Muros construidos</t>
  </si>
  <si>
    <t>320502200 Entidades asistidas técnicamente</t>
  </si>
  <si>
    <t>320502300 Personas capacitadas</t>
  </si>
  <si>
    <t>320502400 Estudios de preinversión elaborados</t>
  </si>
  <si>
    <t>320502401 Diseños elaborados</t>
  </si>
  <si>
    <t>320502500 Cuerpos de agua recuperados</t>
  </si>
  <si>
    <t>320502600 Cuerpos de agua recuperados</t>
  </si>
  <si>
    <t>Kilómetros</t>
  </si>
  <si>
    <t>320502601 Cuerpos de agua recuperados</t>
  </si>
  <si>
    <t>320502700 Obras de prevención y control hidráulico intervenidas</t>
  </si>
  <si>
    <t>320502701 Obras para la prevención y el control de procesos erosivos intervenidas</t>
  </si>
  <si>
    <t>320502702 Obras para la prevención y el control de procesos erosivos intervenidas</t>
  </si>
  <si>
    <t>320502703 Obras para el bombeo de agua</t>
  </si>
  <si>
    <t>320502800 Obras de adecuación hidráulicas intervenidas</t>
  </si>
  <si>
    <t>320502801 Dique construido</t>
  </si>
  <si>
    <t>320502802 Dique reforzado</t>
  </si>
  <si>
    <t>320502803 Obras de puntos de conexión hidráulicos construidos</t>
  </si>
  <si>
    <t>320502900 Documentos de lineamientos técnicos realizados</t>
  </si>
  <si>
    <t>320503000 Documentos de estudios técnicos elaborados</t>
  </si>
  <si>
    <t>320503100 Asistencias Técnicas Realizadas</t>
  </si>
  <si>
    <t>320503200 Personas capacitadas con educación informal</t>
  </si>
  <si>
    <t>320503300 Documentos de política realizados</t>
  </si>
  <si>
    <t>320503400 Documentos normativos elaborados</t>
  </si>
  <si>
    <t>320600100 Documentos de planeación con la propuesta de acciones de mitigación y adaptación al cambio climático diseñados</t>
  </si>
  <si>
    <t>320600200 Documentos de lineamientos técnicos realizados</t>
  </si>
  <si>
    <t xml:space="preserve">320600201 Documentos de lineamientos técnicos para la implementación de las acciones de mitigación y adaptación de los territorios diseñados </t>
  </si>
  <si>
    <t>320600202 Documentos de lineamientos técnicos para la implementación de las acciones de mitigación y adaptación de los sectores diseñados</t>
  </si>
  <si>
    <t>320600203 Documentos de lineamientos técnicos para la identificación de fuentes de financiamiento elaborados</t>
  </si>
  <si>
    <t>320600204 Documentos de lineamientos técnicos orientados a la definición instrumentos económicos y financieros para la adaptación y mitigación de Gases Efecto Invernadero elaborados</t>
  </si>
  <si>
    <t xml:space="preserve">320600205 Documentos de seguimiento y evaluación de las estrategias de financiamiento formulados </t>
  </si>
  <si>
    <t xml:space="preserve">320600206 Documentos de lineamientos técnicos para la instrumentalización de la política de cambio climático en lo referente ciencia y tecnología </t>
  </si>
  <si>
    <t>320600300 Pilotos con acciones de mitigación y adaptación al cambio climático desarrollados</t>
  </si>
  <si>
    <t>320600301 Documentos con las acciones de mitigación y adaptación al cambio climático formulados</t>
  </si>
  <si>
    <t>320600302 Documentos técnicos de propuestas de acciones de mitigación y adaptación al cambio climático en función del cumplimiento de metas y compromisos de mitigación y de adaptación diseñados</t>
  </si>
  <si>
    <t>320600400 Personas capacitadas en gestión del cambio climático</t>
  </si>
  <si>
    <t>320600401 Entidades capacitadas en gestión del cambio climático</t>
  </si>
  <si>
    <t>320600402 Cartillas de capacitación informal elaboradas</t>
  </si>
  <si>
    <t xml:space="preserve">320600500 Campañas de información en gestión de cambio climático realizadas </t>
  </si>
  <si>
    <t>320600501 Piezas de comunicación sobre gestión de cambio climático editadas</t>
  </si>
  <si>
    <t>320600700 Espacios de articulación desarrollados en el marco del SISCLIMA</t>
  </si>
  <si>
    <t>320600701 Documentos generados en el marco del SISCLIMA</t>
  </si>
  <si>
    <t>320600702 Documentos orientadores para la incorporación de cambio climático formulados</t>
  </si>
  <si>
    <t>320600703 Documentos normativos de cambio climático formulados</t>
  </si>
  <si>
    <t>320600800 Número de entidades orientadas</t>
  </si>
  <si>
    <t>320600801 Número de programas formulados</t>
  </si>
  <si>
    <t>320601100 Documentos con los resultados del monitoreo elaborados</t>
  </si>
  <si>
    <t>320601101 Documentos con los resultados del monitoreo ex ante elaborados</t>
  </si>
  <si>
    <t xml:space="preserve">320601102 Estudios de vulnerabilidad ex ante elaborados </t>
  </si>
  <si>
    <t xml:space="preserve">320601103 Estudios de vulnerabilidad  elaborados </t>
  </si>
  <si>
    <t>320601104 Estudios de línea base de emisiones de gases de efecto invernadero realizados</t>
  </si>
  <si>
    <t>320601105 Estudios de reducción de emisiones de gases de efecto invernadero realizados</t>
  </si>
  <si>
    <t xml:space="preserve">320601106 Sistemas de Información fortalecidos </t>
  </si>
  <si>
    <t xml:space="preserve">320601107 Sistemas de Información diseñados </t>
  </si>
  <si>
    <t>320601200 Inventario de fuentes fijas que presentan combustión incompleta realizado</t>
  </si>
  <si>
    <t>320601300 Plantaciones forestales Dendroenergeticas establecidas</t>
  </si>
  <si>
    <t>320601400 Plántulas producidas</t>
  </si>
  <si>
    <t>320601600 Estufas ecoeficientes fijas construidas</t>
  </si>
  <si>
    <t>320601700 Estufas ecoeficientes móviles instaladas</t>
  </si>
  <si>
    <t>320601800 Personas capacitadas con educación informal</t>
  </si>
  <si>
    <t>320601900 Personas capacitadas con educación formal</t>
  </si>
  <si>
    <t>320700100 Documentos de lineamientos técnicos realizados</t>
  </si>
  <si>
    <t>320700101 Documentos de lineamientos técnicos para el fortalecimiento de la gobernanza para la conservación y aprovechamiento sostenible de las zonas marinas, costeras e insulares elaborados</t>
  </si>
  <si>
    <t>320700102 Documentos de lineamientos técnicos para el manejo y control de especies invasoras elaborados</t>
  </si>
  <si>
    <t>320700103 Documentos de lineamientos técnicos para  la restauración ecológica de manglares elaborados</t>
  </si>
  <si>
    <t>320700104 Documentos de lineamientos técnicos para  la restauración ecológica de corales elaborados</t>
  </si>
  <si>
    <t>320700105 Documentos de lineamientos técnicos para  la restauración ecológica de pastos marinos elaborados</t>
  </si>
  <si>
    <t>320700106 Documentos de lineamientos técnicos para  la restauración ecológica otros ecosistemas de importancia en mares y litorales elaborados</t>
  </si>
  <si>
    <t>320700107 Documentos de lineamientos técnicos para  la restauración ecológica de playas marinos elaborados</t>
  </si>
  <si>
    <t>320700108 Documentos de lineamientos para el plan de ordenamiento y manejo de la unidad ambiental costera  elaborados</t>
  </si>
  <si>
    <t xml:space="preserve">320700109 Documentos de lineamientos técnicos para prevenir y gestionar la perdida de biodiversidad marina por especies invasoras elaborados </t>
  </si>
  <si>
    <t xml:space="preserve">320700110 Documentos  de lineamientos técnicos para la gestión integral de prevención y reducción de riesgo asociado a perdida de biodiversidad en ecosistemas marino costeros e insulares elaborados </t>
  </si>
  <si>
    <t>320700200 Documentos normativos realizados</t>
  </si>
  <si>
    <t>320700201 Documentos normativo  para el fortalecimiento de la gobernanza en el marco de la  conservación y aprovechamiento sostenible de las zonas marinas, costeras e insulares adoptados</t>
  </si>
  <si>
    <t xml:space="preserve">320700202 Decretos expedidos </t>
  </si>
  <si>
    <t xml:space="preserve">320700203 Leyes adoptadas </t>
  </si>
  <si>
    <t xml:space="preserve">320700204 Documentos normativos para el  mejoramiento de la calidad ambiental de los ecosistemas marino costeros y recursos acuáticos elaborados </t>
  </si>
  <si>
    <t>320700300 Documentos de planeación realizados</t>
  </si>
  <si>
    <t>320700301 Documentos de planeación para el ordenamiento y manejo de la unidad ambiental costera elaborados</t>
  </si>
  <si>
    <t xml:space="preserve">320700302 Documentos con la fase de aprestamiento del plan de ordenamiento y manejo de la unidad ambiental costera elaborados </t>
  </si>
  <si>
    <t xml:space="preserve">320700303 Documentos con la fase diagnóstico y caracterización del plan de ordenamiento y manejo de la unidad ambiental costera elaborados </t>
  </si>
  <si>
    <t xml:space="preserve">320700304 Documentos con la fase de la zonificación del plan de ordenamiento y manejo de la unidad ambiental costera elaborados </t>
  </si>
  <si>
    <t>320700305 Documentos de planeación para el manejo de recursos hidrobiológicos elaborados</t>
  </si>
  <si>
    <t>320700306 Documentos con la fase de diagnóstico para el plan de manejo de recursos hidrobiológicos elaborados</t>
  </si>
  <si>
    <t>320700307 Documentos con la fase de zonificación  para el plan de manejo de recursos hidrobiológicos elaborados</t>
  </si>
  <si>
    <t>320700308 Documentos con las acciones para el manejo de recursos hidrobiológicos  elaborados</t>
  </si>
  <si>
    <t xml:space="preserve">320700309 Documentos de planeación para la protección de especies amenazadas formulados </t>
  </si>
  <si>
    <t xml:space="preserve">320700310 Documentos de planeación para el manejo de la calidad del agua marina formulados </t>
  </si>
  <si>
    <t xml:space="preserve">320700400 Documentos de investigación realizados </t>
  </si>
  <si>
    <t xml:space="preserve">320700401 Documentos de investigación de erosión costera realizados </t>
  </si>
  <si>
    <t xml:space="preserve">320700402 Documentos de investigación de la dinámica litoral realizados </t>
  </si>
  <si>
    <t xml:space="preserve">320700403 Documentos de investigación de ecosistemas marinos y costeros realizados </t>
  </si>
  <si>
    <t xml:space="preserve">320700404 Documentos de investigación de cambio climático y mares realizados </t>
  </si>
  <si>
    <t>320700405 Documentos de investigación sociales y económicos de las zonas marinas y costeras</t>
  </si>
  <si>
    <t xml:space="preserve">320700406 Documentos de investigación de tecnologías marinas realizados </t>
  </si>
  <si>
    <t>320700500 Mapas de zonas marino costeras elaborados</t>
  </si>
  <si>
    <t xml:space="preserve">320700700 Entidades asistidas para el ordenamiento ambiental de las zonas litorales </t>
  </si>
  <si>
    <t xml:space="preserve">320700800 Cadenas productivas generadas </t>
  </si>
  <si>
    <t>320700801 Cadenas productivas fortalecidas</t>
  </si>
  <si>
    <t>320700802 Cadenas productivas certificadas</t>
  </si>
  <si>
    <t>320700803 Talleres realizados</t>
  </si>
  <si>
    <t>320700804 Personas capacitadas</t>
  </si>
  <si>
    <t xml:space="preserve">320700900 Instrumentos de planeación para el control de especies invasoras y exóticas realizados </t>
  </si>
  <si>
    <t xml:space="preserve">320700901 Proyectos para el control de especies invasoras y exóticas formulados </t>
  </si>
  <si>
    <t>320700902 Especies invasoras y exóticas controladas</t>
  </si>
  <si>
    <t>320701200 Gaviones construidos</t>
  </si>
  <si>
    <t xml:space="preserve">320701300 Diques construidos </t>
  </si>
  <si>
    <t xml:space="preserve">320701400 Espolones construidos </t>
  </si>
  <si>
    <t>320701500 Tajamares construidos</t>
  </si>
  <si>
    <t>320701700 Documentos de  gestión institucional para el manejo marino costero e insular colombiano elaborados</t>
  </si>
  <si>
    <t>320701800 Personas capacitadas</t>
  </si>
  <si>
    <t>320701801 Talleres realizados</t>
  </si>
  <si>
    <t>320701802 Capacitaciones relizadas</t>
  </si>
  <si>
    <t>320701900 Manglar en proceso de restauración</t>
  </si>
  <si>
    <t>320701901 Propágulos plantados</t>
  </si>
  <si>
    <t>320701902 Plántulas desarrolladas</t>
  </si>
  <si>
    <t>320701903 Árboles nativos sembrados</t>
  </si>
  <si>
    <t>320702000 Corales en proceso de restauración</t>
  </si>
  <si>
    <t>320702001 Fragmentos trasplantados</t>
  </si>
  <si>
    <t>320702100 Documentos de lineamientos técnicos realizados</t>
  </si>
  <si>
    <t>320702200 Documentos normativos elaborados</t>
  </si>
  <si>
    <t>320702300 Documentos de planeación elaborados</t>
  </si>
  <si>
    <t>320702400 Documentos de investigación elaborados</t>
  </si>
  <si>
    <t>320702500 Asistencias técnicas realizadas</t>
  </si>
  <si>
    <t>320702600 Acciones de control desarrolladas</t>
  </si>
  <si>
    <t>320702700 Personas capacitadas con educación informal</t>
  </si>
  <si>
    <t>320800100 Alianzas para el desarrollo de la política nacional ambiental y la participación en la gestión ambiental  suscritas</t>
  </si>
  <si>
    <t>320800101 Alianzas para el desarrollo de la política nacional ambiental y la participación en la gestión ambiental  implementadas</t>
  </si>
  <si>
    <t>320800200 Estímulos para la calidad de la educación ambiental entregados</t>
  </si>
  <si>
    <t xml:space="preserve">320800300 Convenios de cooperación internacional de conocimientos en materia de Educación Ambiental y Participación suscritos </t>
  </si>
  <si>
    <t>320800301 Convenios de cooperación o intercambio  de conocimientos en materia de Educación Ambiental y Participación implementados</t>
  </si>
  <si>
    <t>320800501 Documentos de lineamientos técnicos para la internacionalización del programa nacional de educación ambiental y participación elaborados</t>
  </si>
  <si>
    <t>320800500 Documentos de lineamientos técnicos para el desarrollo del programa nacional de educación ambiental y participación elaborados</t>
  </si>
  <si>
    <t xml:space="preserve">320800600 Estrategias educativo ambientales y de participación implementadas </t>
  </si>
  <si>
    <t>320800700 Proyectos de etnoeducación apoyados</t>
  </si>
  <si>
    <t>320800701 Proyectos de protección y recuperación del conocimiento tradicional asociado a la biodiversidad</t>
  </si>
  <si>
    <t>320800800 Campañas de educación ambiental y participación implementadas</t>
  </si>
  <si>
    <t>320800801 Piezas de comunicación sobre educación ambiental y participación editadas</t>
  </si>
  <si>
    <t>320800802 Eventos de educación y participación realizados</t>
  </si>
  <si>
    <t>320800803 Publicaciones en temas ambientales divulgadas</t>
  </si>
  <si>
    <t>320800900 Documentos de lineamientos técnicos elaborados</t>
  </si>
  <si>
    <t>320801000 Personas capacitadas</t>
  </si>
  <si>
    <t>320801100 Documentos de política para la participación ciudadana en la gestión ambiental formulados</t>
  </si>
  <si>
    <t>320801200 Estrategias de educación ambiental implementadas</t>
  </si>
  <si>
    <t>320801201 Entidades del Sistema Nacional Ambiental acompañadas</t>
  </si>
  <si>
    <t>320801202 Proyectos de educación ambiental implementados</t>
  </si>
  <si>
    <t>320801300 Estrategias de participación ciudadana en la gestión ambiental implementadas</t>
  </si>
  <si>
    <t>320801301 Entidades del Sistema Nacional Ambiental acompañadas en participación ciudadana en la gestión ambiental y resolución de conflictos</t>
  </si>
  <si>
    <t>320801302 Proyectos ambientales con enfoque diferencial implementados</t>
  </si>
  <si>
    <t>320801303 Espacios y escenarios de diálogo ambiental implementados</t>
  </si>
  <si>
    <t>320801400 Documentos de lineamientos técnicos realizados</t>
  </si>
  <si>
    <t>320801500 Asistencias técnicas realizadas</t>
  </si>
  <si>
    <t>320801600 Personas capacitadas con educación informal</t>
  </si>
  <si>
    <t>320801700 Personas capacitadas con educación informal</t>
  </si>
  <si>
    <t>329900900 Sedes construidas</t>
  </si>
  <si>
    <t>329900901 Área construida</t>
  </si>
  <si>
    <t>329901000 Sedes ampliadas</t>
  </si>
  <si>
    <t>329901001 Área construida</t>
  </si>
  <si>
    <t>329901100 Sedes adecuadas</t>
  </si>
  <si>
    <t>329901101 Áreas físicas adecuadas</t>
  </si>
  <si>
    <t>329901200 Sedes modificadas</t>
  </si>
  <si>
    <t>329901300 Sedes restauradas</t>
  </si>
  <si>
    <t>329901400 Sedes con reforzamiento estructural</t>
  </si>
  <si>
    <t>329901500 Sedes adquiridas</t>
  </si>
  <si>
    <t>329901600 Sedes mantenidas</t>
  </si>
  <si>
    <t>329904400 Certificado de derechos de beneficio fiduciario</t>
  </si>
  <si>
    <t>329904402 Sede recibida y dotada</t>
  </si>
  <si>
    <t>329904401 Sede recibida</t>
  </si>
  <si>
    <t>329905200 Sistema de gestión documental implementado</t>
  </si>
  <si>
    <t>329905201 Archivos gestionados</t>
  </si>
  <si>
    <t>329905202 Capacitaciones en gestion documental y archivo realizadas</t>
  </si>
  <si>
    <t>329905203 Documentos archivados</t>
  </si>
  <si>
    <t>329905204 Documentos conservados</t>
  </si>
  <si>
    <t>329905205 Documentos consultados</t>
  </si>
  <si>
    <t>329905206 Documentos custodiados</t>
  </si>
  <si>
    <t>329905207 Documentos digitalizados</t>
  </si>
  <si>
    <t>329905208 Documentos históricos conservados</t>
  </si>
  <si>
    <t>329905209 Documentos inventariados</t>
  </si>
  <si>
    <t>329905210 Documentos tramitados</t>
  </si>
  <si>
    <t>329905211 Esquemas para el manejo y organización de documentos e información diseñados</t>
  </si>
  <si>
    <t>329905212 Esquemas para el manejo y organización de documentos e información implementados</t>
  </si>
  <si>
    <t>329905213 Instrumentos archivísticos actualizados</t>
  </si>
  <si>
    <t>329905214 Instrumentos archivísticos creados</t>
  </si>
  <si>
    <t>329905215 Procesos implementados</t>
  </si>
  <si>
    <t>329905400 Documentos de planeación realizados</t>
  </si>
  <si>
    <t>329905401 Planes estratégicos elaborados</t>
  </si>
  <si>
    <t xml:space="preserve">329905402 Documentos de planeación con seguimiento realizado </t>
  </si>
  <si>
    <t>329905600 Documentos normativos realizados</t>
  </si>
  <si>
    <t>329905601 Actos administrativos elaborados</t>
  </si>
  <si>
    <t>329905602 Proyectos de ley elaborados</t>
  </si>
  <si>
    <t>329905700 Documentos de lineamientos técnicos realizados</t>
  </si>
  <si>
    <t xml:space="preserve">329905701 Documentos de estrategias de posicionamiento y articulación interinstitucional implementados </t>
  </si>
  <si>
    <t>329905800 Personas capacitadas</t>
  </si>
  <si>
    <t>329905801 Capacitaciones realizadas</t>
  </si>
  <si>
    <t>329906000 Sistema de gestión implementado</t>
  </si>
  <si>
    <t>329906001 Metodologías aplicadas</t>
  </si>
  <si>
    <t>329906002 Informe final de implementación</t>
  </si>
  <si>
    <t>329906003 Sistema de Gestión certificado</t>
  </si>
  <si>
    <t>329906004 Herramientas implementadas</t>
  </si>
  <si>
    <t>329906100 Sede construida y dotada</t>
  </si>
  <si>
    <t>329906101 Área construida</t>
  </si>
  <si>
    <t>329906102 Sede dotada</t>
  </si>
  <si>
    <t>329906200 Sistemas de información para la gestión administrativa actualizados</t>
  </si>
  <si>
    <t>329906300 Sistemas de información implementados</t>
  </si>
  <si>
    <t xml:space="preserve">329906301 Usuarios con soporte técnico </t>
  </si>
  <si>
    <t xml:space="preserve">329906302 Usuarios con soporte funcional </t>
  </si>
  <si>
    <t>329906303 Disponibilidad del servicio</t>
  </si>
  <si>
    <t xml:space="preserve">329906400 Documentos para la planeación estratégica en TI </t>
  </si>
  <si>
    <t>329906500 Índice de capacidad en la prestación de servicios de tecnología</t>
  </si>
  <si>
    <t>329906600 Documentos de investigación elaborados</t>
  </si>
  <si>
    <t>329906700 Documentos de política elaborados</t>
  </si>
  <si>
    <t>329906800 Sedes dotadas</t>
  </si>
  <si>
    <t>329906900 Asistencias técnicas realizadas</t>
  </si>
  <si>
    <t>329906901 Entidades apoyadas</t>
  </si>
  <si>
    <t>329907000 Sistema de gestión documental actualizado</t>
  </si>
  <si>
    <t>329907100 Sistema de gestión actualizado</t>
  </si>
  <si>
    <t>Lista Indicadores ODS Colombia</t>
  </si>
  <si>
    <t>Lista de politicas nacionales sector Ambiente</t>
  </si>
  <si>
    <t>CLASIFICACIÓN DE LAS ACTIVIDADES AMBIENTALES (DANE-OCDE)</t>
  </si>
  <si>
    <t>CATEGORIAS CLASIFICACIÓN DE ACTIVIDADES AMBIENTALES (DANE-OCDE)</t>
  </si>
  <si>
    <t>PILAR</t>
  </si>
  <si>
    <t xml:space="preserve">CATALIZADOR </t>
  </si>
  <si>
    <t>INDICADOR META PRIORIZADA PND 2022 - 2026</t>
  </si>
  <si>
    <t>CATALIZADOR PND 2022-2026</t>
  </si>
  <si>
    <t>Indicador ODS</t>
  </si>
  <si>
    <t>ODS</t>
  </si>
  <si>
    <t>Ficha Técnica Indicador ODS</t>
  </si>
  <si>
    <t>Nombre</t>
  </si>
  <si>
    <t>Clasificación de actividades en protección ambiental</t>
  </si>
  <si>
    <t>Nombre Categoria</t>
  </si>
  <si>
    <t>Consolidar la base natural, cultural y arqueológica del territorio como los elementos primarios del ordenamiento territorial, bajo un enfoque de justicia ambiental orientado al desarrollo sostenible.
 Articular los planes de Ordenamiento territorial a partir de los determinantes de superior jerarquía.
 Fortalecer las capacidades de los ciudadanos y gobiernos locales para comprender y aplicar los instrumentos de ordenamiento territorial, el catastro multipropósito y el Sistema de Administración del Territorio (SAT).</t>
  </si>
  <si>
    <t>Justicia ambiental y gobernanza inclusiva.</t>
  </si>
  <si>
    <t>Acuerdos territoriales para el ordenamiento alrededor del agua</t>
  </si>
  <si>
    <t>3.9.1 P</t>
  </si>
  <si>
    <t>Porcentaje de estaciones que cumplen con el objetivo intermedio III de las guías de calidad del aire de la Organización Mundial de la Salud (OMS) en material particulado inferior a 2.5 micras (PM2.5)</t>
  </si>
  <si>
    <t>https://www.dane.gov.co/files/indicadores-ods/fichas/Ficha-tecnica-ODS-03.pdf</t>
  </si>
  <si>
    <t>2 CREMA</t>
  </si>
  <si>
    <t>Clasificación de actividades de manejo de recursos</t>
  </si>
  <si>
    <t>CAPA-1) Protección de la atmosfera y el clima</t>
  </si>
  <si>
    <t>El agua, la biodiversidad y las personas, en el centro del ordenamiento territorial.</t>
  </si>
  <si>
    <t>Deforestación nacional</t>
  </si>
  <si>
    <t>3.9.2 P</t>
  </si>
  <si>
    <t>Porcentaje de estaciones que cumplen con el objetivo intermedio III de las guías de calidad del aire de la Organización Mundial de la Salud (OMS) en material particulado inferior a 10 micras (PM10)</t>
  </si>
  <si>
    <t>Política Ambiental para la Gestión Integral de Residuos o Desechos Peligrosos</t>
  </si>
  <si>
    <t>CAPA-2) Gestión de Aguas residuales</t>
  </si>
  <si>
    <t>Coordinación de los instrumentos de planificación de territorios vitales.</t>
  </si>
  <si>
    <t>Áreas en proceso de restauración, recuperación y rehabilitación de ecosistemas naturales</t>
  </si>
  <si>
    <t>6.3.2 P</t>
  </si>
  <si>
    <t>Porcentaje de aguas residuales industriales tratadas</t>
  </si>
  <si>
    <t>https://www.dane.gov.co/files/indicadores-ods/fichas/Ficha-tecnica-ODS-06.pdf</t>
  </si>
  <si>
    <t>Política de Prevención y Control de la Contaminación del Aire</t>
  </si>
  <si>
    <t>CAPA-3) Gestión de residuos</t>
  </si>
  <si>
    <t>Capacidades de los gobiernos locales y las comunidades para la toma de decisiones de ordenamiento y planificación territorial.</t>
  </si>
  <si>
    <t>6.3.3 C</t>
  </si>
  <si>
    <t>Porcentaje de puntos de monitoreo con categoría buena o aceptable del Índice de Calidad de Agua (ICA)</t>
  </si>
  <si>
    <t>Política Gestión Ambiental Urbana</t>
  </si>
  <si>
    <t>CAPA-4) Protección y recuperación del suelo, aguas subterráneas y superficiales</t>
  </si>
  <si>
    <t>Consolidación del catastro multipropósito y tránsito hacia el Sistema de Administración del Territorio (SAT).</t>
  </si>
  <si>
    <t>Proyectos territoriales para mejorar la gestión ambiental urbana en municipios de menos de 50.000 habitantes</t>
  </si>
  <si>
    <t>6.4.1 C</t>
  </si>
  <si>
    <t>Porcentaje de subzonas hidrográficas con Índice de Uso del Agua (IUA) muy alto o crítico</t>
  </si>
  <si>
    <t>Política nacional ambiental para el desarrollo sostenible de los espacios oceánicos y las zonas costeras e insulares de Colombia</t>
  </si>
  <si>
    <t>CAPA-5) Reducción del ruido</t>
  </si>
  <si>
    <t>Tenencia de la tierra en las zonas rural, urbana y suburbana formalizada, adjudicada y regularizada.</t>
  </si>
  <si>
    <t>6.4.2 C</t>
  </si>
  <si>
    <t>Productividad hídrica</t>
  </si>
  <si>
    <t>Política Nacional de Cambio Climatico</t>
  </si>
  <si>
    <t>CAPA-6) Protección de la biodiversidad y los paisajes</t>
  </si>
  <si>
    <t>Lograr un proceso que lleve a la revitalización de la naturaleza con inclusión social: conservación, manejo sostenible y restauración, como el freno a la deforestación y la transformación de otros ecosistemas.
Transitar hacia una economía productiva basada en el respeto a la naturaleza, que se enfoca en alcanzar la descarbonización y consolidar territorios resilientes al clima.
Realizar la transformación energética de manera progresiva, que reduzca la dependencia del modelo extractivista y democratice el uso de recursos energéticos locales como las energías limpias y la generación eléctrica.
Diversificar la economía a través de la reindustrialización. Incluye el cierre de brechas tecnológicas, el impulso a los encadenamientos productivos para la integración regional y global, y el fortalecimiento de las capacidades humanas y de los empleos de calidad.
Disponer recursos financieros para lograr una economía productiva.</t>
  </si>
  <si>
    <t>6.5.1 C</t>
  </si>
  <si>
    <t>Política Nacional de Educación Ambiental ~ SINA</t>
  </si>
  <si>
    <t>CAPA-7) Protección contra la radiación (excepto seguridad extrema)</t>
  </si>
  <si>
    <t>Hacia una economía carbono neutral, un territorio y una sociedad resiliente al clima.</t>
  </si>
  <si>
    <t>6.5.2 C</t>
  </si>
  <si>
    <t>Planes de Ordenación y Manejo de Cuencas Hidrográficas (POMCA) en implementación en el territorio nacional</t>
  </si>
  <si>
    <t>Política Nacional Gestión Integral de Residuos de Aparatos Eléctricos y Electrónicos</t>
  </si>
  <si>
    <t>CAPA-8) Investigación y desarrollo</t>
  </si>
  <si>
    <t>Transición energética justa, basada en el respeto a la naturaleza, la justicia social y la soberanía con seguridad, confiabilidad y eficiencia.</t>
  </si>
  <si>
    <t>8.4.1 C</t>
  </si>
  <si>
    <t>Generación de residuos sólidos y productos residuales frente al Producto Interno Bruto (PIB)</t>
  </si>
  <si>
    <t>https://www.dane.gov.co/files/indicadores-ods/fichas/Ficha-tecnica-ODS-08.pdf</t>
  </si>
  <si>
    <t>Política Nacional para Humedales Interiores de Colombia</t>
  </si>
  <si>
    <t>Desarrollo económico a partir de eficiencia energética, nuevos energéticos y minerales estratégicos para la transición.</t>
  </si>
  <si>
    <t>8.4.2 C</t>
  </si>
  <si>
    <t>Porcentaje de residuos sólidos efectivamente aprovechados</t>
  </si>
  <si>
    <t>Política Nacional para la gestión integral de la biodiversidad y sus servicios ecosistémicos</t>
  </si>
  <si>
    <t>CREMA-10) Gestión de recursos minerales y energéticos</t>
  </si>
  <si>
    <t>Ciudades y hábitats resilientes.</t>
  </si>
  <si>
    <t>8.4.3 C</t>
  </si>
  <si>
    <t>Participación de la economía forestal en el PIB</t>
  </si>
  <si>
    <t>Política Nacional para la Gestión Integral de Residuos</t>
  </si>
  <si>
    <t>CREMA-11) Gestión de recursos madereros</t>
  </si>
  <si>
    <t>De una economía extractivista a una sostenible y productiva: Política de reindustrialización, hacia una economía del conocimiento, incluyente y sostenible.</t>
  </si>
  <si>
    <t>11.4.1 C</t>
  </si>
  <si>
    <t>Miles de hectáreas de áreas protegidas</t>
  </si>
  <si>
    <t>https://www.dane.gov.co/files/indicadores-ods/fichas/Ficha-tecnica-ODS-11.pdf</t>
  </si>
  <si>
    <t>Política Nacional para la Gestión Integral del Recurso Hídrico</t>
  </si>
  <si>
    <t>CREMA-12) Gestión de recursos acuáticos</t>
  </si>
  <si>
    <t>Reindustrialización en actividades conducentes a la sociedad del conocimiento.</t>
  </si>
  <si>
    <t>11.6.1 P</t>
  </si>
  <si>
    <t>CREMA-13) Gestión de otros recursos biológicos</t>
  </si>
  <si>
    <t>11.6.2 P</t>
  </si>
  <si>
    <t>Política para la Gestión Sostenible del Suelo</t>
  </si>
  <si>
    <t>CREMA-14) Gestión de recursos hídricos</t>
  </si>
  <si>
    <t>11.b.2 C</t>
  </si>
  <si>
    <t>CREMA-15) Actividades de investigación y desarrollo para la gestión de recurso</t>
  </si>
  <si>
    <t>11.b.3 C</t>
  </si>
  <si>
    <t>Porcentaje de departamentos y ciudades capitales que incorporan criterios de cambio climático en las líneas instrumentales de sus planes de desarrollo</t>
  </si>
  <si>
    <t>CREMA-16) Otras actividades de gestión de recursos</t>
  </si>
  <si>
    <t>12.4.1 P</t>
  </si>
  <si>
    <t>Residuos peligrosos aprovechados y tratados</t>
  </si>
  <si>
    <t>https://www.dane.gov.co/files/indicadores-ods/fichas/Ficha-tecnica-ODS-12.pdf</t>
  </si>
  <si>
    <t>12.4.2 C</t>
  </si>
  <si>
    <t>Porcentaje de equipos y desechos de policlorobifenilos (PCB) eliminados</t>
  </si>
  <si>
    <t>12.4.3 C</t>
  </si>
  <si>
    <t>Residuos de bombillas con mercurio aprovechadas o gestionadas</t>
  </si>
  <si>
    <t>12.b.1 C</t>
  </si>
  <si>
    <t>13.2.1 C</t>
  </si>
  <si>
    <t>https://www.dane.gov.co/files/indicadores-ods/fichas/Ficha-tecnica-ODS-13.pdf</t>
  </si>
  <si>
    <t>13.1.3 C</t>
  </si>
  <si>
    <t>13.2.3 C</t>
  </si>
  <si>
    <t>14.5.1 P</t>
  </si>
  <si>
    <t>Miles de hectáreas de áreas marinas protegidas</t>
  </si>
  <si>
    <t>https://www.dane.gov.co/files/indicadores-ods/fichas/Ficha-tecnica-ODS-14.pdf</t>
  </si>
  <si>
    <t>14.1.1 C</t>
  </si>
  <si>
    <t>Porcentaje de estaciones de monitoreo de aguas marinas con categoría entre aceptable a óptima del Índice de calidad de Aguas Marinas (ICAM)</t>
  </si>
  <si>
    <t>15.1.1 P</t>
  </si>
  <si>
    <t>https://www.dane.gov.co/files/indicadores-ods/fichas/Ficha-tecnica-ODS-15.pdf</t>
  </si>
  <si>
    <t>15.1.3 C</t>
  </si>
  <si>
    <t>Pérdida anualizada de bosque natural</t>
  </si>
  <si>
    <t>15.1.2 P</t>
  </si>
  <si>
    <t>Porcentaje de la superficie cubierta por bosque natural</t>
  </si>
  <si>
    <t>15.1.4 C</t>
  </si>
  <si>
    <t>Áreas en proceso de restauración</t>
  </si>
  <si>
    <t>15.2.1 P</t>
  </si>
  <si>
    <t>15.5.1 P</t>
  </si>
  <si>
    <t>Proporción de especies críticamente amenazadas</t>
  </si>
  <si>
    <t>15.5.2 P</t>
  </si>
  <si>
    <t>Proporción de especies amenazadas</t>
  </si>
  <si>
    <t>15.5.3 P</t>
  </si>
  <si>
    <t>PG RES 667-2016</t>
  </si>
  <si>
    <t>Indicadores Mínimos de gestión</t>
  </si>
  <si>
    <t>categoria/tematica</t>
  </si>
  <si>
    <t>Lista de Unidades de Medida</t>
  </si>
  <si>
    <t>Geometria de la actifvidad</t>
  </si>
  <si>
    <t>N° IMG</t>
  </si>
  <si>
    <t>Indicadores Mínimos de gestión (Res. 667 de 2016) y propuesta de indicadores complementarios</t>
  </si>
  <si>
    <t>Unidad</t>
  </si>
  <si>
    <t>Porcentaje de cuerpos de agua con planes de ordenamiento del recurso hídrico (PORH) adoptados</t>
  </si>
  <si>
    <t xml:space="preserve"> Porcentaje de avance en la formulación y/o ajuste de los Planes de Ordenación y Manejo de Cuencas (POMCAS), Planes de Manejo de Acuiferos (PMA), y Planes de Manejo de Microcuencas (PMM).</t>
  </si>
  <si>
    <t>Porcentaje promedio de avance en la formulación de los POMCA en el tiempo t</t>
  </si>
  <si>
    <t>Área</t>
  </si>
  <si>
    <t>Línea</t>
  </si>
  <si>
    <t>Porcentaje de Planes de Saneamiento y Manejo de Vertimientos (PSMV) con seguimiento</t>
  </si>
  <si>
    <t>µg/m3</t>
  </si>
  <si>
    <t>Poligono</t>
  </si>
  <si>
    <t>Porcentaje de cuerpos de agua con reglamentación del uso de las aguas</t>
  </si>
  <si>
    <t>Porcentaje promedio de avance en la formulación de los PMM en el tiempo t</t>
  </si>
  <si>
    <t>Acciones</t>
  </si>
  <si>
    <t>Porcentaje de Programas de Uso Eficiente y Ahorro del Agua (PUEAA) con seguimiento</t>
  </si>
  <si>
    <t>Porcentaje de entes territoriales asesorados en la incorporación, planificación y ejecución de acciones relacionadas con cambio climático en el marco de los instrumentos de planificación territorial</t>
  </si>
  <si>
    <t>Actos Administrativos</t>
  </si>
  <si>
    <t>Entregar a los territorios documentos con recomendaciones y orientaciones especificas para la incorporación, planificación y ejecución de acciones de cambio climático en los instrumentos de planificación del desarrollo y de ordenamiento territorial</t>
  </si>
  <si>
    <t>Campañas</t>
  </si>
  <si>
    <t>Porcentaje de páramos delimitados por el MADS, con zonificación y régimen de usos adoptados por la CAR</t>
  </si>
  <si>
    <t>Elaborar estudios para medir el riesgo climático en la jurisdicción y realizar la socialización con los entes territoriales</t>
  </si>
  <si>
    <t>Capacitaciones</t>
  </si>
  <si>
    <t>Porcentaje de Planes de Gestión Integral de Residuos Sólidos (PGIRS) con seguimiento</t>
  </si>
  <si>
    <t>Elaboración y difusión de estudios sobre las oportunidades del cambio climático a nivel regional</t>
  </si>
  <si>
    <t>CAV</t>
  </si>
  <si>
    <t>Porcentaje de municipios asesorados o asistidos en la inclusión del componente ambiental en los procesos de planificación y ordenamiento territorial, con énfasis en la incorporación de las determinantes ambientales para la revisión y ajuste de los POT</t>
  </si>
  <si>
    <t>Comités</t>
  </si>
  <si>
    <t>Porcentaje de avance en la formulación y/o ajuste de los Planes de Ordenación y Manejo de Cuencas (POMCAS), Planes de Manejo de Acuiferos (PMA), y Planes de Manejo de Microcuencas (PMM).</t>
  </si>
  <si>
    <t>Realizar eventos de capacitación para la incorporación de cambio climático en los PDD, PDM y POT</t>
  </si>
  <si>
    <t>Corriente hídrica</t>
  </si>
  <si>
    <t>Porcentaje de  Planes de Ordenación y Manejo de Cuencas (POMCAS), Planes de Manejo de Acuiferos (PMA), y Planes de Manejo de Microcuencas (PMM) en ejecución</t>
  </si>
  <si>
    <t>Porcentaje de la superficie de áreas protegidas regionales declaradas, homologadas, o recategorizadas, inscritas en el RUNAP</t>
  </si>
  <si>
    <t>Áreas Protegidas continentales</t>
  </si>
  <si>
    <t>Cuenca</t>
  </si>
  <si>
    <t>Porcentaje de suelos degradados en recuperación o rehabilitación</t>
  </si>
  <si>
    <t>Áreas Protegidas marinas, costeras e insulares</t>
  </si>
  <si>
    <t>Días</t>
  </si>
  <si>
    <t>Porcentaje de avance en la formulación del Plan de Ordenación Forestal</t>
  </si>
  <si>
    <t>Hectáreas forestales a ser actualizadas en el Plan de Ordenación Forestal en el cuatrienio</t>
  </si>
  <si>
    <t>Divulgaciones</t>
  </si>
  <si>
    <t>Hectáreas forestales a ser ordenadas en el Plan de Ordenación Forestal en el cuatrienio</t>
  </si>
  <si>
    <t>Documentos</t>
  </si>
  <si>
    <t>Porcentaje de áreas protegidas con planes de manejo en ejecución</t>
  </si>
  <si>
    <t>Porcentaje de municipios asesorados o asistidos en la inclusión del componente ambiental en los procesos de planificacion y ordenamiento territorial, con enfásis en la incorporación de las determinantes ambientales para la revisión y ajuste de los POT</t>
  </si>
  <si>
    <t>Realizar eventos de socialización y capacitación a los municipios y distritos en la inclusión del componente ambiental</t>
  </si>
  <si>
    <t>Especies</t>
  </si>
  <si>
    <t>Porcentaje de especies amenazadas con medidas de conservación y manejo en ejecución.</t>
  </si>
  <si>
    <t>Estaciones</t>
  </si>
  <si>
    <t>Porcentaje de especies invasoras con medidas de prevención, control y manejo en ejecución</t>
  </si>
  <si>
    <t>Capacitar a los municipios y distritos en lo relacionado con el proceso de concertación de los asuntos exclusivamente ambientales de los POT</t>
  </si>
  <si>
    <t>Estudios</t>
  </si>
  <si>
    <t>Porcentaje de áreas de ecosistemas en restauración, rehabilitación y reforestación.</t>
  </si>
  <si>
    <t>Porcentaje de redes y estaciones de monitoreo en operación</t>
  </si>
  <si>
    <t>Agua</t>
  </si>
  <si>
    <t>Familias</t>
  </si>
  <si>
    <t>Implementación de acciones en manejo integrado de zonas costeras</t>
  </si>
  <si>
    <t>Monitoreo de Aire</t>
  </si>
  <si>
    <t xml:space="preserve">Porcentaje de sectores con acompañamiento para la reconversion hacia sistemas sostenibles de producción </t>
  </si>
  <si>
    <t>Otras redes y estaciones de monitoreo en operación</t>
  </si>
  <si>
    <t>Porcentaje de ejecución de acciones en Gestión Ambiental Urbana</t>
  </si>
  <si>
    <t>Porcentaje de actualización y reporte de la información en el SIAC</t>
  </si>
  <si>
    <t>Kilogramo</t>
  </si>
  <si>
    <t>Implementación del programa nacional de negocios verdes por la autoridad ambiental</t>
  </si>
  <si>
    <t>SISAIRE-Sistema de Información sobre Calidad del Aire</t>
  </si>
  <si>
    <t xml:space="preserve">Tiempo promedio de tramite para la resolucion de autorizaciones ambientales otorgadas por la corporación </t>
  </si>
  <si>
    <t>Kilómetros cuadrados</t>
  </si>
  <si>
    <t>Porcentaje de autorizaciones ambientales con seguimiento</t>
  </si>
  <si>
    <t>Porcentaje de procesos sancionatorios resueltos</t>
  </si>
  <si>
    <t>Mapa</t>
  </si>
  <si>
    <t xml:space="preserve">Porcentaje de redes y estaciones de monitoreo en operación </t>
  </si>
  <si>
    <t>Seguimiento concesiones de agua</t>
  </si>
  <si>
    <t>Ejecución de acciones en educación ambiental</t>
  </si>
  <si>
    <t>Seguimiento Permiso de vertimientos y PSMV</t>
  </si>
  <si>
    <t>Avance en la formulación, ajuste y/o actualización de los Planes de Ordenación y Manejo de Cuencas (POMCAS)</t>
  </si>
  <si>
    <t>Seguimiento Permiso de aprovechamiento forestal</t>
  </si>
  <si>
    <t>Municipios</t>
  </si>
  <si>
    <t>Avance en la formulación y/o ajuste de los Planes de Manejo Ambiental de Acuíferos (PMAA)</t>
  </si>
  <si>
    <t>Seguimiento Permiso de emisiones atmósfericas</t>
  </si>
  <si>
    <t>Avance en la formulación y/o ajuste de los Planes de Manejo Ambiental de Microcuencas (PMAM)</t>
  </si>
  <si>
    <t>Tiempo promedio de tramite para la resolucion de autorizaciones ambientales otorgadas por la corporación</t>
  </si>
  <si>
    <t>Cuerpos de Agua con Planes de Ordenamiento del Recurso Hídrico Continental Superficial (PORH) adoptados.</t>
  </si>
  <si>
    <t>Redes y estaciones de Monitoreo del Recurso Hídrico en operación</t>
  </si>
  <si>
    <t>Permisos de vertimiento</t>
  </si>
  <si>
    <t>Avance en el acotamiento de Rondas Hídricas de Cuerpos de Agua priorizados.</t>
  </si>
  <si>
    <t>Permisos de aprovechamiento forestal</t>
  </si>
  <si>
    <t>Número de esquemas de pago</t>
  </si>
  <si>
    <t xml:space="preserve">Planes de Saneamiento y Manejo de Vertimientos (PSMV) con seguimiento y control </t>
  </si>
  <si>
    <t>Permisos de emisiones atmosféricas</t>
  </si>
  <si>
    <t>Número de Fuentes Hídricas</t>
  </si>
  <si>
    <t xml:space="preserve">Cuerpos de Agua con Reglamentación del Uso de las Aguas </t>
  </si>
  <si>
    <t>Actos administrativos de iniciación de procedimiento sancionatorio expedido</t>
  </si>
  <si>
    <t>Número de Personas</t>
  </si>
  <si>
    <t>Programas de Uso Eficiente y Ahorro del Agua (PUEAA) con seguimiento</t>
  </si>
  <si>
    <t>Actos administrativos de determinación de la responsabilidad</t>
  </si>
  <si>
    <t>Obras</t>
  </si>
  <si>
    <t>Avance de la ejecución de los componentes programáticos y de gestión del riesgo de los Planes de Ordenación y Manejo de Cuencas Hidrográficas – POMCA</t>
  </si>
  <si>
    <t>Actos administrativos de cesación de procedimiento</t>
  </si>
  <si>
    <t>Operativos</t>
  </si>
  <si>
    <t>Planes de Manejo Ambiental de Acuíferos (PMAA) en ejecución</t>
  </si>
  <si>
    <t>Porcentaje de Planes de Ordenación y Manejo de Cuencas (POMCAS), Planes de Manejo de Acuiferos (PMA), y Planes de Manejo de Microcuencas (PMM) en ejecución</t>
  </si>
  <si>
    <t>Porcentaje de POMCA en ejecución (PPOMCASEE), en el tiempo t</t>
  </si>
  <si>
    <t>Organizaciones</t>
  </si>
  <si>
    <t>Planes de Manejo Ambiental de Microcuencas (PMAM) en ejecución</t>
  </si>
  <si>
    <t>Porcentaje de Planes de Manejo de Acuiferos (PMA) en ejecución, en el tiempo t</t>
  </si>
  <si>
    <t>Piezas publicitarias</t>
  </si>
  <si>
    <t>Avance en el ordenamiento del manglar</t>
  </si>
  <si>
    <t>Porcentaje de Planes de Manejo de Microcuencas (PMM) en ejecución, en el tiempo t</t>
  </si>
  <si>
    <t>Plan</t>
  </si>
  <si>
    <t xml:space="preserve">Avance en la formulación y/o ajuste de los Planes de Ordenación y Manejo Integrado de la Unidad Ambiental Costera – POMIUAC </t>
  </si>
  <si>
    <t>Suelos degradados en recuperación</t>
  </si>
  <si>
    <t>Plan de Manejo</t>
  </si>
  <si>
    <t xml:space="preserve">Avance en la ejecución de los Planes de Ordenación y Manejo Integrado de la Unidad Ambiental Costera – POMIUAC, adoptados </t>
  </si>
  <si>
    <t>Suelos degradados en rehabilitación</t>
  </si>
  <si>
    <t>Reporte de los instrumentos económicos, financieros y tributarios validados por el MADS</t>
  </si>
  <si>
    <t>Continentales</t>
  </si>
  <si>
    <t>Predios</t>
  </si>
  <si>
    <t>Avance en la Implementación del Plan Nacional de Negocios Verdes por la Autoridad Ambiental</t>
  </si>
  <si>
    <t>Marinas, costeras e insulares</t>
  </si>
  <si>
    <t>Programas</t>
  </si>
  <si>
    <t>Implementación del Programa Nacional de Pagos por Servicios Ambientales en el marco del CONPES 3886 de 2017</t>
  </si>
  <si>
    <t>Especies de flora amenazadas continentales</t>
  </si>
  <si>
    <t>Protocolo</t>
  </si>
  <si>
    <t>Superficie de áreas protegidas regionales declaradas, ampliadas, homologadas o recategorizadas, inscritas en el RUNAP</t>
  </si>
  <si>
    <t>Especies de fauna amenazadas continentales</t>
  </si>
  <si>
    <t>Proyecto</t>
  </si>
  <si>
    <t>Áreas protegidas con planes de manejo en ejecución</t>
  </si>
  <si>
    <t>Especies de flora amenazadas marinas</t>
  </si>
  <si>
    <t>Redes</t>
  </si>
  <si>
    <t>Especies amenazadas con medidas de conservación y manejo en ejecución</t>
  </si>
  <si>
    <t>Especies de fauna amenazadas marinas</t>
  </si>
  <si>
    <t>Registros</t>
  </si>
  <si>
    <t>Especies invasoras con medidas de prevención, control y manejo en ejecución</t>
  </si>
  <si>
    <t>Especies de flora invasora continentales</t>
  </si>
  <si>
    <t>Sectores</t>
  </si>
  <si>
    <t>Ecosistemas en restauración, rehabilitación y reforestación.</t>
  </si>
  <si>
    <t>Especies de fauna invasora continentales</t>
  </si>
  <si>
    <t>Sedes</t>
  </si>
  <si>
    <t xml:space="preserve">Avance en la formulación, aprobación y/o actualización del Plan de Ordenación Forestal </t>
  </si>
  <si>
    <t>Especies de flora invasora marinas</t>
  </si>
  <si>
    <t>Sistemas</t>
  </si>
  <si>
    <t>Avance en la formulación, adopción y actualización del plan de manejo ambiental de páramos delimitados por el MinAmbiente</t>
  </si>
  <si>
    <t>Especies de fauna invasora marinas</t>
  </si>
  <si>
    <t>Socializaciones</t>
  </si>
  <si>
    <t>Avance en la ejecución del Plan de Ordenación Forestal.</t>
  </si>
  <si>
    <t>Áreas de ecosistemas en restauración ecológica</t>
  </si>
  <si>
    <t>Talleres</t>
  </si>
  <si>
    <t>Avance en la intervención en suelos degradados</t>
  </si>
  <si>
    <t>Áreas de ecosistemas en rehabilitación</t>
  </si>
  <si>
    <t>Toneladas</t>
  </si>
  <si>
    <t xml:space="preserve">Ejecución de Acciones en Educación Ambiental </t>
  </si>
  <si>
    <t>Áreas de ecosistemas en reforestación</t>
  </si>
  <si>
    <t>Metodología de evaluación de daños, y análisis de necesidades ambientales post desastres continental EDANA-C implementada</t>
  </si>
  <si>
    <t>Planificación y ordenamiento de la Unidad Ambiental Costera UAC</t>
  </si>
  <si>
    <t>Usuarios</t>
  </si>
  <si>
    <t>Redes y estaciones de Monitoreo del Aire en operación</t>
  </si>
  <si>
    <t>Gestión Ambiental en las zonas costeras de su jurisdicción</t>
  </si>
  <si>
    <t>Visitas</t>
  </si>
  <si>
    <t xml:space="preserve">Planes de Gestión Integral de Residuos Sólidos (PGIRS) con seguimiento a metas de aprovechamiento </t>
  </si>
  <si>
    <t>Articulación junto con los entes territoriales en el manejo integrado de zonas costeras</t>
  </si>
  <si>
    <t>Vivero</t>
  </si>
  <si>
    <t xml:space="preserve">Asistencias técnicas en producción y consumo responsable para desarrollar el modelo de economía circular por parte de las corporaciones a empresas y unidades productivas de subsectores priorizados. </t>
  </si>
  <si>
    <t>Educación y participación en manejo integrado de zonas costeras</t>
  </si>
  <si>
    <t>Avance en la ejecución de acciones de gestión ambiental urbana</t>
  </si>
  <si>
    <t>Gestión de información en manejo integrado de zonas costeras</t>
  </si>
  <si>
    <t xml:space="preserve">Municipios asesorados o asistidos en la inclusión del componente ambiental en los procesos de planificación y ordenamiento territorial, con énfasis en la incorporación de las determinantes ambientales para la revisión y ajuste de los POT </t>
  </si>
  <si>
    <t>Porcentaje de sectores con acompañamiento para la reconversion hacia sistemas sostenibles de producción</t>
  </si>
  <si>
    <t>Acompañamiento en la reconversión hacia sistemas sostenibles de producción</t>
  </si>
  <si>
    <t>Autorizaciones ambientales con seguimiento</t>
  </si>
  <si>
    <t>Construcción de agendas sectoriales conjuntas</t>
  </si>
  <si>
    <t>Tiempo promedio para la resolución de los trámites ambientales otorgadas por la corporación</t>
  </si>
  <si>
    <t>Seguimiento al cumplimiento de las agendas sectoriales</t>
  </si>
  <si>
    <t>Procesos Sancionatorios Ambientales Resueltos</t>
  </si>
  <si>
    <t>Eventos de capacitación</t>
  </si>
  <si>
    <t>Eventos de socialización</t>
  </si>
  <si>
    <t>Planificación y ordenamiento ambiental en áreas urbanas</t>
  </si>
  <si>
    <t>Gestión Ambiental del Riesgo en áreas urbanas</t>
  </si>
  <si>
    <t>Gestión Ambiental del espacio público en áreas urbanas</t>
  </si>
  <si>
    <t>Prevención y control de la contaminación del aire en áreas urbanas (fenómento de acumulación o concentracióon de contaminantes en el aire generado por diferentes tipos entre ellos contaminandte criterio, ruido y olores ofensivos)-</t>
  </si>
  <si>
    <t>Gestión del recurso hídrico en áreas urbanas</t>
  </si>
  <si>
    <t>Gestión de residuos sólidos en áreas urbanas</t>
  </si>
  <si>
    <t>Participación Ambiental en gestión ambiental urbana</t>
  </si>
  <si>
    <t>Realización de talleres</t>
  </si>
  <si>
    <t>Protocolizar la creación de la ventanilla o nodo de negocios verdes y/o la suscripción de alianza en la A.A.</t>
  </si>
  <si>
    <t>Participación en ferias</t>
  </si>
  <si>
    <t>Comercialización</t>
  </si>
  <si>
    <t>Participación en CIDEA</t>
  </si>
  <si>
    <t>Acompañamiento e implementación de PRAE</t>
  </si>
  <si>
    <t xml:space="preserve"> Acompañamiento de PROCEDA</t>
  </si>
  <si>
    <t>Porcentaje de cuerpos de agua con planes de ordenamiento del recurso hidrico (PORH) adoptados</t>
  </si>
  <si>
    <t>Porcentaje de páramos delimitados por el MADS, con zonificación y regimenes de usos adoptados por la CAR</t>
  </si>
  <si>
    <t>Porcentaje de Planes de Gestión Integral de Residuos Sólidos (PGIRS) con seguimiento a metas de aprovechamiento</t>
  </si>
  <si>
    <t>Act. 6.3.5. Fortalecimiento del Banco de Programas y Proyectos como soporte a la gestión de inversión ambiental de la entidad.</t>
  </si>
  <si>
    <t>Fortalecer los diferentes procesos de Ordenamiento Territorial como estrategia para promover el desarrollo territorial sostenible, en el dpto. del Cesar, enfocada a la atención interinstitucional de tres crisis ambientales globales.</t>
  </si>
  <si>
    <t>TUTELA
T -713 de 2017
Diciembre de 2017_x000D_</t>
  </si>
  <si>
    <t>Proyecto 5.3 (3202.008)
Gestión del SIRAP (incluye gestión de nuevas APR)  y/o creación e implementación de otras estrategias de conservación de la biodiversidad y formulación e implementación y apoyo de PM de AP en el departamento del Cesar.</t>
  </si>
  <si>
    <t xml:space="preserve">Act. 1.2.1 (3201001) Documentos de política para el fortalecimiento del desempeño ambiental de los sectores productivos
(Incluye agendas de trabajo enfocadas a economía circular, como elementos influyentes en la descarbonización de la economía), principalmente en los sectores de agricultura, manufactura y turismo. </t>
  </si>
  <si>
    <t>Act. 2.2.3. (3206011)
Servicios de información para el seguimiento a los compromisos en cambio climático de Colombia.
- Incluye todas las acciones promovidas por el gobierno nacional intra e interinstitucional para incidir con consideraciones de cambio climático en los instrumentos de planeación de los sectores y territorios (Incluye Sistema MRV, Sisclima, entre otros).</t>
  </si>
  <si>
    <t>Documentos de planeación con la propuesta de acciones de mitigación y adaptación al cambio climatico diseñados</t>
  </si>
  <si>
    <t xml:space="preserve">Documentos de planeación con la propuesta de acciones de mitigación y adaptación al cambio climático diseñados </t>
  </si>
  <si>
    <t>Act. 2.2.4. (3206.07) 
Servicio de articulación para la gestión del cambio climático en la toma de decisiones sectoriales y territoriales.
Fortalecimiento de la participación y gestión de CORPOCESAR, en el Nodo Regional de Cambio Climático -NRCC- del Caribe.
Incluye todas las acciones promovidas por el gobierno nacional, intra, e interinstitucional para incidir con consideraciones de cambio climático en los instrumentos de planeación de los sectores y territorios.</t>
  </si>
  <si>
    <t>Act. 1.2.3 Implementación del programa integral que promueva acciones de educación ambiental, economía circular y negocios verdes en el marco de las los conocimientos y prácticas tradicionales de las comunidades negras, afrocolombianas, raizales y palenqueras</t>
  </si>
  <si>
    <t xml:space="preserve">Act. 3.1.7. Servicio de monitoreo de la oferta en cantidad de recurso hidrico. 
</t>
  </si>
  <si>
    <t xml:space="preserve">Act. 3.1.8 Ejecución de los PORH adoptados. 
</t>
  </si>
  <si>
    <t>Act 3.1.9 Formulación de un nuevo PORH.</t>
  </si>
  <si>
    <t xml:space="preserve">Act. 3.1.10. Formulación e implementación de una estrategia de seguimiento al Programa de Uso Eficiente y Ahorro del Agua (PUEAA) </t>
  </si>
  <si>
    <t>Act. 3.1.11. Formulación e implementación de una estrategia de seguimiento a concesiones hídricas</t>
  </si>
  <si>
    <t xml:space="preserve">Act. 3.1.12. Control y seguimiento a los PSMV aprobados por la Corporación </t>
  </si>
  <si>
    <t>Act. 3.1.13. Apoyo a implementación de  los PSMV  e implementación de acciones para el uso eficiente y descontaminación del recurso hídrico en el dpto. del Cesar.</t>
  </si>
  <si>
    <t xml:space="preserve">Act. 3.1.14. Control y seguimiento a los PGIRS aprobados por la Corporación </t>
  </si>
  <si>
    <t>Act. 4.1.2. Revisión y ajuste de las determinantes ambientales.</t>
  </si>
  <si>
    <t>Act. 4.1.3 Evaluación, control y/o seguimiento de los asuntos ambientales concertados en el proceso de revisión y/o ajustes de los POT, PBOT y EOT del Cesar.</t>
  </si>
  <si>
    <t>Act. 4.1.1. Asistencia técnica a todos los municipios de la jurisdicción en los procesos de revisión y ajuste de los POT.</t>
  </si>
  <si>
    <t xml:space="preserve">Act 4.2.1. Elaboración de estudios técnicos para la gestión del riesgo. </t>
  </si>
  <si>
    <t>Act. 4.2.2. Priorización, gestión y ejecución de acciones de conocimiento del riesgo en áreas específicas de ecosistemas suceptibles de afectación.</t>
  </si>
  <si>
    <t>Act 4.2.3 Ejecución de acciones estructurales y no estructurales para la reduccion del riesgo en la jurisdicción de la Corporación.</t>
  </si>
  <si>
    <t>Act. 6.2.3. Acompañamiento a la promoción, organización, implementación e institucionalización de vigías y veedurías ambientales.</t>
  </si>
  <si>
    <t xml:space="preserve">Act 6.5.4. Fortalecimiento del proceso de seguimiento de los proyectos de inversion adelantados por la entidad </t>
  </si>
  <si>
    <t>Asistencia tecnica realizada</t>
  </si>
  <si>
    <t>Act. 3.1.1 Formulacion nuevos POMCAS  (Cuenca La Floresta - otros directos al Magdalena medio, Cuenca Rio Badillo y otros directos)</t>
  </si>
  <si>
    <t xml:space="preserve">Act. 3.1.2. Implementacion de acciones de POMCA adoptados. </t>
  </si>
  <si>
    <t>Act. 3.1.3. Gestion, implementacion  y seguimiento de PMA Acuiferos.</t>
  </si>
  <si>
    <t>Act. 3.1.4. Formulacion del plan de manejo de microcuencas.</t>
  </si>
  <si>
    <t xml:space="preserve">Act 3.1.5. Acciones de implementacion del plan de manejo de microcuencas </t>
  </si>
  <si>
    <t>Act. 3.1.6. Formulacion del Programa Institucional Regional de Monitoreo del Agua - PIRMA</t>
  </si>
  <si>
    <t>Determinantes Ambientales revisadas y actualizadas según art 32 de la  2294 2023</t>
  </si>
  <si>
    <t>Actos administrativos del proceso, con evaluación, control y/o seguimiento</t>
  </si>
  <si>
    <t>Avance del reporte ICAU</t>
  </si>
  <si>
    <t xml:space="preserve">Estudios tecnicos realizados </t>
  </si>
  <si>
    <t>Ecosistemas con conocimiento para la reduccion del riesgo</t>
  </si>
  <si>
    <t>Acciones de reducción de riesgo estructurales y no estructurales</t>
  </si>
  <si>
    <t xml:space="preserve">Act. 6.2.2. Fortalecimiento de capacidades a integrantes del SINA, como aporte a la modernización institucional en materia de educación ambiental. </t>
  </si>
  <si>
    <t xml:space="preserve">Act. 6.4.8. Fortalecimiento de la implementación de la estrategia de Comunicación política de la gestión ambiental para la divulgación interinstitucional y aprehensión ciudadana al sector ambiental </t>
  </si>
  <si>
    <t xml:space="preserve">Plataformas digitales para difusión de la información institucional implementadas </t>
  </si>
  <si>
    <t>Act 6.5.1. Fortalecimiento del sistema VITALSILAM, SUIT para la optimización de los trámites ambientales. (SIAC, SISAIRE, ETC)</t>
  </si>
  <si>
    <t>Act 6.5.3. Optimización de los procesos de trámites ambientales y servicios misionales de la corporación.</t>
  </si>
  <si>
    <t>Act. 6.6.1. Optimización del proceso operativo de la TUA con enfoque de cambio climático.</t>
  </si>
  <si>
    <t>Acciones de POMCA implementadas.</t>
  </si>
  <si>
    <t xml:space="preserve">Acciones de PMA de Acuíferos implementadas y con seguimiento </t>
  </si>
  <si>
    <t xml:space="preserve">Acciones de PMA de Microcuencas </t>
  </si>
  <si>
    <t xml:space="preserve">porcenaje de avance de PIRMA formulado </t>
  </si>
  <si>
    <t xml:space="preserve"> Monitoreo de la oferta en cantidad del recurso hidrico </t>
  </si>
  <si>
    <t>Acciones de PORH formuladas y/o implementadas</t>
  </si>
  <si>
    <t xml:space="preserve">Porcentaje de PORH formulado </t>
  </si>
  <si>
    <t>Seguimientos a PUEAA aprobados y priorizados en la estrategia</t>
  </si>
  <si>
    <t>Seguimientos a concesiones aprobados y priorizados en la estrategia</t>
  </si>
  <si>
    <t>STAR apoyados (medida estructural y no estructural para disminuir la contaminación hídrica)/año</t>
  </si>
  <si>
    <t>Alianzas establecidas</t>
  </si>
  <si>
    <t>Acciones de gobernanza fortalecidas</t>
  </si>
  <si>
    <t>Proyectos gestionados formulados y/o apoyados</t>
  </si>
  <si>
    <t>Areas protegidas declaradas y/o estrategias creadas</t>
  </si>
  <si>
    <t>Plan de manejo y/o de acción formulado</t>
  </si>
  <si>
    <t>Acciones de implementacion de planes de manejo y/o accion ejecutadas</t>
  </si>
  <si>
    <t xml:space="preserve">Apoyo operativo para la promoción, organización, implementación e institucionalización de vigías ambientales o veedurías ambientales acompañadas </t>
  </si>
  <si>
    <t xml:space="preserve">Seguimiento de proyectos en ejecución </t>
  </si>
  <si>
    <t xml:space="preserve">Porcentaje de avance en la formulaión y/o ajuste de los planes de Ordenación y Manejo de cuencas - POMCA </t>
  </si>
  <si>
    <t>Asistencia técnica realizada</t>
  </si>
  <si>
    <t>Sistema de información fortalecido</t>
  </si>
  <si>
    <t>punto</t>
  </si>
  <si>
    <t>Puntp</t>
  </si>
  <si>
    <t>Convergencia Regional</t>
  </si>
  <si>
    <t>Act. 5.3.2 Formulación e implementacion planes de manejo para las APR y/o planes de accion de otras estrategias de conservación de la biodiversidad. (A)</t>
  </si>
  <si>
    <t>Act. 5.3.2 Formulación e implementacion planes de manejo para las APR y/o planes de accion de otras estrategias de conservación de la biodiversidad. (B)</t>
  </si>
  <si>
    <t>(1) ESTRUCTURA PLAN DE ACCIÓN INSTITUCIONAL 2024 - 2027</t>
  </si>
  <si>
    <t>RECURSOS APROPIADOS TOTALES</t>
  </si>
  <si>
    <t>SOBRETASA AMBIENTAL -VIGENCIA ACTUAL</t>
  </si>
  <si>
    <t>Mayores ingresos no aforados de la vigencia Anterior - Sobretasa Ambiental Urbano</t>
  </si>
  <si>
    <t>Mayores ingresos no aforados de la vigencia Anterior - Intereses de mora multas y sanciones</t>
  </si>
  <si>
    <t>Mayores ingresos no aforados de la vigencia Anterior - Multas ambientales</t>
  </si>
  <si>
    <t xml:space="preserve">Mayores ingresos no aforados de la vigencia Anterior - Seguimiento de licencias y trámites ambientales </t>
  </si>
  <si>
    <t xml:space="preserve">Mayores ingresos no aforados de la vigencia Anterior - Evaluación de licencias y trámites ambientales </t>
  </si>
  <si>
    <t>Mayores ingresos no aforados de la vigencia Anterior -  Rendimientos Financieros</t>
  </si>
  <si>
    <t>Mayores ingresos no aforados de la vigencia Anterior -  Tasa por el Uso del Agua</t>
  </si>
  <si>
    <t>Mayores ingresos no aforados de la vigencia Anterior - Tasa Retributiva</t>
  </si>
  <si>
    <t>Tasa por aprovechamiento forestal</t>
  </si>
  <si>
    <t>DEPOSITO VIGENCIA ACTUAL</t>
  </si>
  <si>
    <t>Contribución sector eléctrico - Generadores de energía convencional - Vigencia Actual</t>
  </si>
  <si>
    <t>Tasa por el uso del agua</t>
  </si>
  <si>
    <t>SPGR ASIGNACIONES DIRECTAS</t>
  </si>
  <si>
    <t>Tasa retributiva</t>
  </si>
  <si>
    <t>Servicios prestados a las empresas y servicios de producción  - Vigencia Actual</t>
  </si>
  <si>
    <t>Multas ambientales - Vigencia Anterior</t>
  </si>
  <si>
    <t>Intereses de mora</t>
  </si>
  <si>
    <t xml:space="preserve"> APORTE FONDO DE COMPENSACIONES AMBIENTAL - FCA - VIGENCIA ACTUAL</t>
  </si>
  <si>
    <t>APORTES DEL SISTEMA GENERAL DE PARTICIPACION - VIGENCIA ACTUAL</t>
  </si>
  <si>
    <t xml:space="preserve">APORTES INVERSION FONDO NACIONAL AMBIENTAL - VIGENCIA ACTUAL </t>
  </si>
  <si>
    <t>Evaluación de licencias y trámites ambientales - Vigencia Actual</t>
  </si>
  <si>
    <t>De otras entidades del gobierno general</t>
  </si>
  <si>
    <t>Depósitos - Tasa de Aprovechamiento Forestal</t>
  </si>
  <si>
    <t>Depósitos -  Tasa por el Uso del Agua</t>
  </si>
  <si>
    <t xml:space="preserve">Depósitos - Seguimiento de licencias y trámites ambientales </t>
  </si>
  <si>
    <t xml:space="preserve">Depósitos - Evaluación de licencias y trámites ambientales </t>
  </si>
  <si>
    <t>Depósitos -  Tasa Retributiva</t>
  </si>
  <si>
    <t>Depósitos - Contribución sector eléctrico - Generadores de energía convencional</t>
  </si>
  <si>
    <t>Salvoconducto Único Nacional - Vigencia Actual</t>
  </si>
  <si>
    <t>Seguimiento a licencias y trámites ambientales</t>
  </si>
  <si>
    <t>TOTAL RECURSOS (7)</t>
  </si>
  <si>
    <t>OBSERVACIONES (8)</t>
  </si>
  <si>
    <t>APROPIACIÓN</t>
  </si>
  <si>
    <t>COMPROMISOS</t>
  </si>
  <si>
    <t>OBLIGACIONES</t>
  </si>
  <si>
    <t xml:space="preserve">PAGOS </t>
  </si>
  <si>
    <t>PAGOS</t>
  </si>
  <si>
    <t>PROGRAMA 1. (3201):
FORTALECIMIENTO DEL DESEMPEÑO AMBIENTAL DE LOS SECTORES PRODUCTIVOS</t>
  </si>
  <si>
    <t>PROYECTO 1.1. (3201.01). 
GESTIÓN E IMPLEMENTACIÓN DE ESTRATEGIAS PARA LA RECUPERACIÓN Y CONSERVACIÓN DE LA FLORA Y FAUNA EN EL DEPARTAMENTO DEL CESAR.</t>
  </si>
  <si>
    <r>
      <rPr>
        <b/>
        <sz val="10"/>
        <rFont val="Arial Narrow"/>
        <family val="2"/>
      </rPr>
      <t>ACT. 1.1.1. (3201.01.03).</t>
    </r>
    <r>
      <rPr>
        <sz val="10"/>
        <rFont val="Arial Narrow"/>
        <family val="2"/>
      </rPr>
      <t xml:space="preserve">
GESTIÓN DE SISTEMAS BAJO ESQUEMAS DE PSA E INCENTIVOS A LA CONSERVACIÓN: FORTALECIMIENTO DE CAPACIDADES (INSTRUMENTACIÓN JURÍDICA, GESTIÓN Y ARTICULACIÓN INSTITUCIONAL, EVALUACIÓN Y SEGUIMIENTO, Y SOSTENIBILIDAD FINANCIERA. IMPLEMENTACIÓN DEL BANCO DE PROYECTOS DE PSA DINAMIZACIÓN EL REGISTRO ÚNICO DE ECOSISTEMAS Y ÁREAS AMBIENTALES (REAA).</t>
    </r>
  </si>
  <si>
    <r>
      <rPr>
        <b/>
        <sz val="10"/>
        <rFont val="Arial Narrow"/>
        <family val="2"/>
      </rPr>
      <t xml:space="preserve">ACT. 1.1.2 (3201.01.04) </t>
    </r>
    <r>
      <rPr>
        <sz val="10"/>
        <rFont val="Arial Narrow"/>
        <family val="2"/>
      </rPr>
      <t xml:space="preserve">
IMPLEMENTACIÓN DE ESTRATEGIA ENFOCADA A LA BIOECONOMÍA PARA LA SOSTENIBILIDAD PRODUCTIVA EN EL USO DE LOS RECURSOS NATURALES PARA LA CONSERVACIÓN DE   ECOSISTEMAS ESTRATÉGICOS PRIORIZADOS EN ACUERDOS DE MESAS SUBREGIONALES. EN ARMONÍA CON EL PROYECTO 1.2.</t>
    </r>
  </si>
  <si>
    <r>
      <rPr>
        <b/>
        <sz val="10"/>
        <rFont val="Arial Narrow"/>
        <family val="2"/>
      </rPr>
      <t xml:space="preserve">ACT. 1.1.3 (3201.01.07). </t>
    </r>
    <r>
      <rPr>
        <sz val="10"/>
        <rFont val="Arial Narrow"/>
        <family val="2"/>
      </rPr>
      <t xml:space="preserve">
FORTALECIMIENTO   DE LAS VENTANILLAS DE NEGOCIOS VERDES Y ARTICULACIÓN CON LOS INCENTIVOS EXISTENTES. (INCLUYE NUEVOS INCENTIVOS CONCERTAOS EN MESAS SUBREGIONALES. 2024).</t>
    </r>
  </si>
  <si>
    <t xml:space="preserve">PROYECTO1.2 (3201.03). 
GESTIÓN Y APOYO REGIONAL A LA IMPLEMENTACIÓN DE LA ESTRATEGIA NACIONAL DE ECONOMÍA CIRCULAR Y ECONOMÍA AMBIENTAL PARA LA PRODUCCIÓN SOSTENIBLE, ARTICULADO A LAS APUESTAS DEL PROYECTO 2.1 </t>
  </si>
  <si>
    <r>
      <rPr>
        <b/>
        <sz val="10"/>
        <rFont val="Arial Narrow"/>
        <family val="2"/>
      </rPr>
      <t>ACT. 1.2.1 (3201001).</t>
    </r>
    <r>
      <rPr>
        <sz val="10"/>
        <rFont val="Arial Narrow"/>
        <family val="2"/>
      </rPr>
      <t xml:space="preserve">
DOCUMENTOS DE POLÍTICA PARA EL FORTALECIMIENTO DEL DESEMPEÑO AMBIENTAL DE LOS SECTORES PRODUCTIVOS (INCLUYE AGENDAS DE TRABAJO ENFOCADAS A ECONOMÍA CIRCULAR, COMO ELEMENTOS INFLUYENTES EN LA DESCARBONIZACIÓN DE LA ECONOMÍA, PRINCIPALMENTE EN LOS SECTORES DE AGRICULTURA, MANUFACTURA Y TURISMO. </t>
    </r>
  </si>
  <si>
    <r>
      <rPr>
        <b/>
        <sz val="10"/>
        <rFont val="Arial Narrow"/>
        <family val="2"/>
      </rPr>
      <t xml:space="preserve">ACT. 1.2.2 (3201.003): </t>
    </r>
    <r>
      <rPr>
        <sz val="10"/>
        <rFont val="Arial Narrow"/>
        <family val="2"/>
      </rPr>
      <t xml:space="preserve">
SERVICIO DE ASISTENCIA TÉCNICA PARA LA CONSOLIDACIÓN DE NEGOCIOS VERDES. PROMOVER MODELOS DE NEGOCIOS CON ENFOQUE EN ECONOMÍA CIRCULAR A TRAVÉS DE PROYECTOS DE CADENAS DE SUMINISTROS CIRCULARES, PLATAFORMAS COLABORATIVAS, MODELOS PARA EXTENDER LA VIDA ÚTIL DE LOS MATERIALES, RESPONSABILIDAD EXTENDIDA DEL PRODUCTOR, ENTRE OTROS, INCORPORANDO HABILITADORES COMO INCENTIVOS ECONÓMICOS Y NO ECONÓMICOS, GOBERNANZA, FINANCIAMIENTO, EMPLEOS VERDES E INNOVACIÓN TECNOLÓGICA. </t>
    </r>
  </si>
  <si>
    <r>
      <rPr>
        <b/>
        <sz val="10"/>
        <rFont val="Arial Narrow"/>
        <family val="2"/>
      </rPr>
      <t>ACT. 1.2.3.</t>
    </r>
    <r>
      <rPr>
        <sz val="10"/>
        <rFont val="Arial Narrow"/>
        <family val="2"/>
      </rPr>
      <t xml:space="preserve">
IMPLEMENTACIÓN DEL PROGRAMA INTEGRAL QUE PROMUEVA ACCIONES DE EDUCACIÓN AMBIENTAL, ECONOMÍA CIRCULAR Y NEGOCIOS VERDES EN EL MARCO DE LAS LOS CONOCIMIENTOS Y PRÁCTICAS TRADICIONALES DE LAS COMUNIDADES NEGRAS, AFROCOLOMBIANAS, RAIZALES Y PALENQUERAS.</t>
    </r>
  </si>
  <si>
    <t>PROGRAMA  2 (3206). 
GESTIÓN DEL CAMBIO CLIMÁTICO PARA UN DESARROLLO BAJO EN CARBONO Y RESILIENTE AL CLIMA.</t>
  </si>
  <si>
    <t>PROYECTO 2.1 (3206.03).
SERVICIO DE APOYO TÉCNICO PARA LA IMPLEMENTACIÓN DE ACCIONES DE MITIGACIÓN Y ADAPTACIÓN AL CAMBIO CLIMÁTICO, A TRAVÉS DE LA PROMOCIÓN DE ALTERNATIVAS PARA LA EFICIENCIA DEL SECTOR ENERGÉTICO EN EL CESAR, EN ARMONÍA SISTÉMICA CON LA APUESTA DEL PROGRAMA 1.</t>
  </si>
  <si>
    <r>
      <rPr>
        <b/>
        <sz val="10"/>
        <rFont val="Arial Narrow"/>
        <family val="2"/>
      </rPr>
      <t xml:space="preserve">ACT. 2.1.1 (3206.003.02). </t>
    </r>
    <r>
      <rPr>
        <sz val="10"/>
        <rFont val="Arial Narrow"/>
        <family val="2"/>
      </rPr>
      <t xml:space="preserve">
DOCUMENTOS TÉCNICOS DE PROPUESTAS DE ACCIONES DE MITIGACIÓN Y ADAPTACIÓN AL CAMBIO CLIMÁTICO EN FUNCIÓN DEL CUMPLIMIENTO DE METAS Y COMPROMISOS DE MITIGACIÓN Y DE ADAPTACIÓN DISEÑADOS. (IMPLEMENTACIÓN DE LAS AUDIENCIAS ENERGÉTICA, SEGÚN COMPETENCIA DE VIGILANCIA AMBIENTAL). INCLUYE CONTROL AMBIENTAL AL USO DE LOS RN Y USO RACIONAL DE LAS ENERGÍAS). GESTIÓN ANTE LOS REGULADORES DE LOS SECTORES AGUA Y ENERGÍA (CRA Y CREG) PARA PROMOVER EL URE Y LA VINCULACIÓN A LA GESTIÓN AMBIENTAL. </t>
    </r>
  </si>
  <si>
    <r>
      <rPr>
        <b/>
        <sz val="10"/>
        <rFont val="Arial Narrow"/>
        <family val="2"/>
      </rPr>
      <t>ACT. 2.1.2. (3206.003.00).</t>
    </r>
    <r>
      <rPr>
        <sz val="10"/>
        <rFont val="Arial Narrow"/>
        <family val="2"/>
      </rPr>
      <t xml:space="preserve">
PILOTOS CON ACCIONES DE MITIGACIÓN Y ADAPTACIÓN AL CAMBIO CLIMÁTICO DESARROLLADOS INCLUYE, FORMULACIÓN E IMPLEMENTACIÓN DE INTERVENCIONES LOCALES ORIENTADAS A REDUCIR LAS EMISIONES DE GEI, AUMENTO DE SUMIDEROS DE CARBONO, REDUCCIÓN DE LA VULNERABILIDAD, Y AUMENTO DE LA RESILIENCIA A LA VARIABILIDAD Y AL CAMBIO CLIMÁTICO., APOYADA CON EL PROYECTO 6.2 (EDUCACIÓN AMBIENTAL). </t>
    </r>
  </si>
  <si>
    <t>PROYECTO 2.2 (3206.01).
IMPLEMENTACIÓN Y EVALUACIÓN DE ACCIONES DEL PLAN INTEGRAL DE GESTIÓN DE CAMBIO CLIMÁTICO -PIGCC- TERRITORIAL DEL CESAR.</t>
  </si>
  <si>
    <r>
      <rPr>
        <b/>
        <sz val="10"/>
        <rFont val="Arial Narrow"/>
        <family val="2"/>
      </rPr>
      <t>ACT. 2.2.1 (3206.01.01).</t>
    </r>
    <r>
      <rPr>
        <sz val="10"/>
        <rFont val="Arial Narrow"/>
        <family val="2"/>
      </rPr>
      <t xml:space="preserve">
GESTIÓN E IMPLEMENTACIÓN DE ESTRATEGIAS Y/O PROYECTOS DE MITIGACIÓN Y ADAPTACIÓN AL CAMBIO CLIMÁTICO, EN EL MARCO DE LOS PLANTEAMIENTOS DEL -PIGCC- CESAR, PRIORIZANDO LAS ACCIONES REALIZADAS CON EL PROYECTO 1.2 Y EL PROGRAMA 3202. </t>
    </r>
  </si>
  <si>
    <r>
      <rPr>
        <b/>
        <sz val="10"/>
        <rFont val="Arial Narrow"/>
        <family val="2"/>
      </rPr>
      <t>ACT. 2.2.2 (3206016).</t>
    </r>
    <r>
      <rPr>
        <sz val="10"/>
        <rFont val="Arial Narrow"/>
        <family val="2"/>
      </rPr>
      <t xml:space="preserve">
ESTUFA ECOEFICIENTE FIJA (INCLUYE LA CONSTRUCCIÓN E INSTALACIÓN DE ESTUFAS ARTESANALES FIJAS, QUE DISMINUYE EL CONSUMO DE LEÑA Y LA EMISIÓN DE GASES DE EFECTO INVERNADERO – GEI)</t>
    </r>
  </si>
  <si>
    <r>
      <rPr>
        <b/>
        <sz val="10"/>
        <rFont val="Arial Narrow"/>
        <family val="2"/>
      </rPr>
      <t xml:space="preserve">ACT. 2.2.3. </t>
    </r>
    <r>
      <rPr>
        <sz val="10"/>
        <rFont val="Arial Narrow"/>
        <family val="2"/>
      </rPr>
      <t xml:space="preserve">
SERVICIOS DE INFORMACIÓN PARA EL SEGUIMIENTO A LOS COMPROMISOS EN CAMBIO CLIMÁTICO DE COLOMBIA. - INCLUYE TODAS LAS ACCIONES PROMOVIDAS POR EL GOBIERNO NACIONAL INTRA E INTERINSTITUCIONAL PARA INCIDIR CON CONSIDERACIONES DE CAMBIO CLIMÁTICO EN LOS INSTRUMENTOS DE PLANEACIÓN DE LOS SECTORES Y TERRITORIOS (INCLUYE SISTEMA MRV, SISCLIMA, ENTRE OTROS).</t>
    </r>
  </si>
  <si>
    <r>
      <rPr>
        <b/>
        <sz val="10"/>
        <rFont val="Arial Narrow"/>
        <family val="2"/>
      </rPr>
      <t>ACT. 2.2.4. (3206.07).</t>
    </r>
    <r>
      <rPr>
        <sz val="10"/>
        <rFont val="Arial Narrow"/>
        <family val="2"/>
      </rPr>
      <t xml:space="preserve">
SERVICIO DE ARTICULACIÓN PARA LA GESTIÓN DEL CAMBIO CLIMÁTICO EN LA TOMA DE DECISIONES SECTORIALES Y TERRITORIALES.
FORTALECIMIENTO DE LA PARTICIPACIÓN Y GESTIÓN DE CORPOCESAR, EN EL NODO REGIONAL DE CAMBIO CLIMÁTICO -NRCC- DEL CARIBE. INCLUYE TODAS LAS ACCIONES PROMOVIDAS POR EL GOBIERNO NACIONAL, INTRA, E INTERINSTITUCIONAL PARA INCIDIR CON CONSIDERACIONES DE CAMBIO CLIMÁTICO EN LOS INSTRUMENTOS DE PLANEACIÓN DE LOS SECTORES Y TERRITORIOS.
</t>
    </r>
  </si>
  <si>
    <t>LÍNEA ESTRATÉGICA TRANSVERSAL 3.
GESTIÓN DEL ORDENAMIENTO AMBIENTAL TERRITORIAL Y GESTIÓN DEL RIESGO.</t>
  </si>
  <si>
    <t xml:space="preserve">PROGRAMA 3 (3203).
GESTIÓN INTEGRAL DEL RECURSO HÍDRICO.  </t>
  </si>
  <si>
    <t xml:space="preserve">PROYECTO 3.1 (3203.01).
DOCUMENTOS DE LINEAMIENTOS TÉCNICOS PARA LA GESTIÓN INTEGRAL DEL RECURSO HÍDRICO Y MATERIALIZACIÓN DE LA GOBERNANZA EN EL MARCO DE LA PNGIRH, EN EL DPTO. DEL CESAR. </t>
  </si>
  <si>
    <r>
      <rPr>
        <b/>
        <sz val="10"/>
        <rFont val="Arial Narrow"/>
        <family val="2"/>
      </rPr>
      <t>ACT. 3.1.1.</t>
    </r>
    <r>
      <rPr>
        <sz val="10"/>
        <rFont val="Arial Narrow"/>
        <family val="2"/>
      </rPr>
      <t xml:space="preserve">
FORMULACION NUEVOS POMCAS  (CUENCA LA FLORESTA - OTROS DIRECTOS AL MAGDALENA MEDIO, CUENCA RIO BADILLO Y OTROS DIRECTOS)</t>
    </r>
  </si>
  <si>
    <r>
      <rPr>
        <b/>
        <sz val="10"/>
        <rFont val="Arial Narrow"/>
        <family val="2"/>
      </rPr>
      <t xml:space="preserve">ACT. 3.1.2. </t>
    </r>
    <r>
      <rPr>
        <sz val="10"/>
        <rFont val="Arial Narrow"/>
        <family val="2"/>
      </rPr>
      <t xml:space="preserve">
IMPLEMENTACION DE ACCIONES DE POMCA ADOPTADOS. </t>
    </r>
  </si>
  <si>
    <r>
      <rPr>
        <b/>
        <sz val="10"/>
        <rFont val="Arial Narrow"/>
        <family val="2"/>
      </rPr>
      <t xml:space="preserve">ACT. 3.1.3. </t>
    </r>
    <r>
      <rPr>
        <sz val="10"/>
        <rFont val="Arial Narrow"/>
        <family val="2"/>
      </rPr>
      <t xml:space="preserve">
GESTION, IMPLEMENTACION  Y SEGUIMIENTO DE PMA ACUIFEROS.</t>
    </r>
  </si>
  <si>
    <r>
      <rPr>
        <b/>
        <sz val="10"/>
        <rFont val="Arial Narrow"/>
        <family val="2"/>
      </rPr>
      <t xml:space="preserve">ACT. 3.1.4. </t>
    </r>
    <r>
      <rPr>
        <sz val="10"/>
        <rFont val="Arial Narrow"/>
        <family val="2"/>
      </rPr>
      <t xml:space="preserve">
FORMULACION DEL PLAN DE MANEJO DE MICROCUENCAS.</t>
    </r>
  </si>
  <si>
    <r>
      <rPr>
        <b/>
        <sz val="10"/>
        <rFont val="Arial Narrow"/>
        <family val="2"/>
      </rPr>
      <t xml:space="preserve">ACT 3.1.5. </t>
    </r>
    <r>
      <rPr>
        <sz val="10"/>
        <rFont val="Arial Narrow"/>
        <family val="2"/>
      </rPr>
      <t xml:space="preserve">
ACCIONES DE IMPLEMENTACION DEL PLAN DE MANEJO DE MICROCUENCAS </t>
    </r>
  </si>
  <si>
    <r>
      <rPr>
        <b/>
        <sz val="10"/>
        <rFont val="Arial Narrow"/>
        <family val="2"/>
      </rPr>
      <t xml:space="preserve">ACT. 3.1.6. </t>
    </r>
    <r>
      <rPr>
        <sz val="10"/>
        <rFont val="Arial Narrow"/>
        <family val="2"/>
      </rPr>
      <t xml:space="preserve">
FORMULACION DEL PROGRAMA INSTITUCIONAL REGIONAL DE MONITOREO DEL AGUA - PIRMA</t>
    </r>
  </si>
  <si>
    <r>
      <rPr>
        <b/>
        <sz val="10"/>
        <rFont val="Arial Narrow"/>
        <family val="2"/>
      </rPr>
      <t xml:space="preserve">ACT. 3.1.7. </t>
    </r>
    <r>
      <rPr>
        <sz val="10"/>
        <rFont val="Arial Narrow"/>
        <family val="2"/>
      </rPr>
      <t xml:space="preserve">
SERVICIO DE MONITOREO DE LA OFERTA EN CANTIDAD DE RECURSO HIDRICO.</t>
    </r>
  </si>
  <si>
    <r>
      <rPr>
        <b/>
        <sz val="10"/>
        <rFont val="Arial Narrow"/>
        <family val="2"/>
      </rPr>
      <t>ACT. 3.1.8.</t>
    </r>
    <r>
      <rPr>
        <sz val="10"/>
        <rFont val="Arial Narrow"/>
        <family val="2"/>
      </rPr>
      <t xml:space="preserve">
EJECUCIÓN DE LOS PORH ADOPTADOS.</t>
    </r>
  </si>
  <si>
    <r>
      <rPr>
        <b/>
        <sz val="10"/>
        <rFont val="Arial Narrow"/>
        <family val="2"/>
      </rPr>
      <t>ACT 3.1.9.</t>
    </r>
    <r>
      <rPr>
        <sz val="10"/>
        <rFont val="Arial Narrow"/>
        <family val="2"/>
      </rPr>
      <t xml:space="preserve">
FORMULACIÓN DE UN NUEVO PORH.</t>
    </r>
  </si>
  <si>
    <r>
      <rPr>
        <b/>
        <sz val="10"/>
        <rFont val="Arial Narrow"/>
        <family val="2"/>
      </rPr>
      <t xml:space="preserve">ACT. 3.1.10. 
</t>
    </r>
    <r>
      <rPr>
        <sz val="10"/>
        <rFont val="Arial Narrow"/>
        <family val="2"/>
      </rPr>
      <t>FORMULACIÓN E IMPLEMENTACIÓN DE UNA ESTRATEGIA DE SEGUIMIENTO AL PROGRAMA DE USO EFICIENTE Y AHORRO DEL AGUA (PUEAA).</t>
    </r>
  </si>
  <si>
    <r>
      <rPr>
        <b/>
        <sz val="10"/>
        <rFont val="Arial Narrow"/>
        <family val="2"/>
      </rPr>
      <t xml:space="preserve">ACT. 3.1.11. </t>
    </r>
    <r>
      <rPr>
        <sz val="10"/>
        <rFont val="Arial Narrow"/>
        <family val="2"/>
      </rPr>
      <t xml:space="preserve">
FORMULACIÓN E IMPLEMENTACIÓN DE UNA ESTRATEGIA DE SEGUIMIENTO A CONCESIONES HÍDRICAS.</t>
    </r>
  </si>
  <si>
    <r>
      <rPr>
        <b/>
        <sz val="10"/>
        <rFont val="Arial Narrow"/>
        <family val="2"/>
      </rPr>
      <t xml:space="preserve">ACT. 3.1.12. </t>
    </r>
    <r>
      <rPr>
        <sz val="10"/>
        <rFont val="Arial Narrow"/>
        <family val="2"/>
      </rPr>
      <t xml:space="preserve">
CONTROL Y SEGUIMIENTO A LOS PSMV APROBADOS POR LA CORPORACIÓN </t>
    </r>
  </si>
  <si>
    <r>
      <rPr>
        <b/>
        <sz val="10"/>
        <rFont val="Arial Narrow"/>
        <family val="2"/>
      </rPr>
      <t xml:space="preserve">ACT. 3.1.13. </t>
    </r>
    <r>
      <rPr>
        <sz val="10"/>
        <rFont val="Arial Narrow"/>
        <family val="2"/>
      </rPr>
      <t xml:space="preserve">
APOYO A IMPLEMENTACIÓN DE  LOS PSMV  E IMPLEMENTACIÓN DE ACCIONES PARA EL USO EFICIENTE Y DESCONTAMINACIÓN DEL RECURSO HÍDRICO EN EL DPTO. DEL CESAR.</t>
    </r>
  </si>
  <si>
    <r>
      <rPr>
        <b/>
        <sz val="10"/>
        <rFont val="Arial Narrow"/>
        <family val="2"/>
      </rPr>
      <t xml:space="preserve">ACT. 3.1.14. </t>
    </r>
    <r>
      <rPr>
        <sz val="10"/>
        <rFont val="Arial Narrow"/>
        <family val="2"/>
      </rPr>
      <t xml:space="preserve">
CONTROL Y SEGUIMIENTO A LOS PGIRS APROBADOS POR LA CORPORACIÓN.</t>
    </r>
  </si>
  <si>
    <t>PROYECTO 3.2 (3701).
FORTALECIMIENTO INSTITUCIONAL A LOS PROCESOS ORGANIZATIVOS DE CONCERTACIÓN; GARANTÍA, PREVENCIÓN Y RESPETO DE LOS DERECHOS HUMANOS COMO FUNDAMENTOS PARA LA PAZ Y LA GOBERNANZA AMBIENTAL.</t>
  </si>
  <si>
    <r>
      <rPr>
        <b/>
        <sz val="10"/>
        <rFont val="Arial Narrow"/>
        <family val="2"/>
      </rPr>
      <t>ACT. 3.2.1 (3701028).</t>
    </r>
    <r>
      <rPr>
        <sz val="10"/>
        <rFont val="Arial Narrow"/>
        <family val="2"/>
      </rPr>
      <t xml:space="preserve">
SERVICIO DE PROMOCIÓN DE DERECHOS DE LAS COMUNIDADES ÉTNICAS EN EL DPTO. 
(INCLUYE LA COORDINACIÓN INTERINSTITUCIONAL PARA EL APOYO A LA GESTIÓN E IMPLEMENTACIÓN DE LOS ACUERDOS DERIVADOS DE LA PROTOCOLIZACIÓN DE CONSULTAS PREVIAS). </t>
    </r>
  </si>
  <si>
    <t>PROGRAMA 4. (3205).
ORDENAMIENTO AMBIENTAL TERRITORIAL.</t>
  </si>
  <si>
    <t xml:space="preserve">PROYECTO 4.1 (3205.01).
FORTALECIMIENTO DEL PROCESO DE ORDENAMIENTO TERRITORIAL COMO ESTRATEGIA PARA PROMOVER EL DESARROLLO TERRITORIAL SOSTENIBLE, EN EL DPTO. DEL CESAR, ENFOCADA A LA ATENCIÓN INTERINSTITUCIONAL DE TRES CRISIS AMBIENTALES GLOBALES. </t>
  </si>
  <si>
    <r>
      <rPr>
        <b/>
        <sz val="10"/>
        <rFont val="Arial Narrow"/>
        <family val="2"/>
      </rPr>
      <t xml:space="preserve">ACT. 4.1.1. </t>
    </r>
    <r>
      <rPr>
        <sz val="10"/>
        <rFont val="Arial Narrow"/>
        <family val="2"/>
      </rPr>
      <t xml:space="preserve">
ASISTENCIA TÉCNICA A TODOS LOS MUNICIPIOS DE LA JURISDICCIÓN EN LOS PROCESOS DE REVISIÓN Y AJUSTE DE LOS POT.</t>
    </r>
  </si>
  <si>
    <r>
      <rPr>
        <b/>
        <sz val="10"/>
        <rFont val="Arial Narrow"/>
        <family val="2"/>
      </rPr>
      <t xml:space="preserve">ACT. 4.1.2. </t>
    </r>
    <r>
      <rPr>
        <sz val="10"/>
        <rFont val="Arial Narrow"/>
        <family val="2"/>
      </rPr>
      <t xml:space="preserve">
REVISIÓN Y AJUSTE DE LAS DETERMINANTES AMBIENTALES.</t>
    </r>
  </si>
  <si>
    <r>
      <rPr>
        <b/>
        <sz val="10"/>
        <rFont val="Arial Narrow"/>
        <family val="2"/>
      </rPr>
      <t>ACT. 4.1.3.</t>
    </r>
    <r>
      <rPr>
        <sz val="10"/>
        <rFont val="Arial Narrow"/>
        <family val="2"/>
      </rPr>
      <t xml:space="preserve">
EVALUACIÓN, CONTROL Y/O SEGUIMIENTO DE LOS ASUNTOS AMBIENTALES CONCERTADOS EN EL PROCESO DE REVISIÓN Y/O AJUSTES DE LOS POT, PBOT Y EOT DEL CESAR.</t>
    </r>
  </si>
  <si>
    <r>
      <rPr>
        <b/>
        <sz val="10"/>
        <rFont val="Arial Narrow"/>
        <family val="2"/>
      </rPr>
      <t>ACT. 4.1.4.</t>
    </r>
    <r>
      <rPr>
        <sz val="10"/>
        <rFont val="Arial Narrow"/>
        <family val="2"/>
      </rPr>
      <t xml:space="preserve">
GESTIÓN, CONTROL, SEGUIMIENTO Y REPORTE DE INDICADORES DE CALIDAD AMBIENTAL  URBANA – ICAU, EN LOS MUNICIPIOS DE VALLEDUPAR, AGUACHICA, BOSCONIA Y AGUSTÍN CODAZZI EN EL MARCO DE LA POLÍTICA NACIONAL PGAU.</t>
    </r>
  </si>
  <si>
    <t>PROYECTO 4.2 (3205.002).
ESTUDIOS TÉCNICOS PARA EL ORDENAMIENTO AMBIENTAL TERRITORIAL, EN ARMONÍA CON LA APUESTA DEL PROGRAMA 2..</t>
  </si>
  <si>
    <r>
      <rPr>
        <b/>
        <sz val="10"/>
        <rFont val="Arial Narrow"/>
        <family val="2"/>
      </rPr>
      <t xml:space="preserve">ACT 4.2.1. </t>
    </r>
    <r>
      <rPr>
        <sz val="10"/>
        <rFont val="Arial Narrow"/>
        <family val="2"/>
      </rPr>
      <t xml:space="preserve">
ELABORACIÓN DE ESTUDIOS TÉCNICOS PARA LA GESTIÓN DEL RIESGO. </t>
    </r>
  </si>
  <si>
    <r>
      <rPr>
        <b/>
        <sz val="10"/>
        <rFont val="Arial Narrow"/>
        <family val="2"/>
      </rPr>
      <t xml:space="preserve">ACT. 4.2.2. </t>
    </r>
    <r>
      <rPr>
        <sz val="10"/>
        <rFont val="Arial Narrow"/>
        <family val="2"/>
      </rPr>
      <t xml:space="preserve">
PRIORIZACIÓN, GESTIÓN Y EJECUCIÓN DE ACCIONES DE CONOCIMIENTO DEL RIESGO EN ÁREAS ESPECÍFICAS DE ECOSISTEMAS SUCEPTIBLES DE AFECTACIÓN.</t>
    </r>
  </si>
  <si>
    <r>
      <rPr>
        <b/>
        <sz val="10"/>
        <rFont val="Arial Narrow"/>
        <family val="2"/>
      </rPr>
      <t>ACT 4.2.3.</t>
    </r>
    <r>
      <rPr>
        <sz val="10"/>
        <rFont val="Arial Narrow"/>
        <family val="2"/>
      </rPr>
      <t xml:space="preserve">
EJECUCIÓN DE ACCIONES ESTRUCTURALES Y NO ESTRUCTURALES PARA LA REDUCCION DEL RIESGO EN LA JURISDICCIÓN DE LA CORPORACIÓN.</t>
    </r>
  </si>
  <si>
    <t>PROGRAMA 5.  3202.
 CONSERVACIÓN DE LA BIODIVERSIDAD Y SUS SERVICIOS ECOSISTÉMICOS.</t>
  </si>
  <si>
    <t>PROYECTO 5.1. (3202.001).
COORDINACIÓN Y DESARROLLO DE PORTAFOLIOS DE SISTEMAS SOSTENIBLES DE CONSERVACIÓN - SSC- (CONSERVACIÓN, RESTAURACIÓN, MANEJO SOSTENIBLE, AGROFORESTALES, RECONVERSIÓN PRODUCTIVA) EN EL DEPARTAMENTO DEL CESAR</t>
  </si>
  <si>
    <r>
      <rPr>
        <b/>
        <sz val="10"/>
        <rFont val="Arial Narrow"/>
        <family val="2"/>
      </rPr>
      <t xml:space="preserve">ACT. 5.1.1. </t>
    </r>
    <r>
      <rPr>
        <sz val="10"/>
        <rFont val="Arial Narrow"/>
        <family val="2"/>
      </rPr>
      <t xml:space="preserve">
COORDINACIÓN, CONCIENCIACIÓN DE ACTORES ENTORNO AL PROCESO DE VISIÓN DE SISTEMAS SOSTENIBLES DE CONSERVACIÓN -SSC. (INCLUYE LA CREACIÓN DE ALIANZAS Y EL ACOMPAÑAMIENTO RESPECTIVO EN LA EJECUCIÓN DE ACCIONES ESTRATÉGICAS).</t>
    </r>
  </si>
  <si>
    <r>
      <rPr>
        <b/>
        <sz val="10"/>
        <rFont val="Arial Narrow"/>
        <family val="2"/>
      </rPr>
      <t xml:space="preserve">ACT. 5.1.2. </t>
    </r>
    <r>
      <rPr>
        <sz val="10"/>
        <rFont val="Arial Narrow"/>
        <family val="2"/>
      </rPr>
      <t xml:space="preserve">
GESTIÓN SINÉRGICA PARA LA PROMOCIÓN Y CREACIÓN DE CAPACIDAD TÉCNICA PARA LA IMPLEMENTACIÓN DEL MANEJO SSC. (INCLUYE FORTALECIMIENTO Y ACOMPAÑAMIENTO A TRAVÉS DE CAPACITACIONES PARA EL MANEJO DEL SSC).</t>
    </r>
  </si>
  <si>
    <r>
      <rPr>
        <b/>
        <sz val="10"/>
        <rFont val="Arial Narrow"/>
        <family val="2"/>
      </rPr>
      <t xml:space="preserve">ACT. 5.1.3. </t>
    </r>
    <r>
      <rPr>
        <sz val="10"/>
        <rFont val="Arial Narrow"/>
        <family val="2"/>
      </rPr>
      <t xml:space="preserve">
APOYO PARA LA FORMULACIÓN, SEGUIMIENTO Y EVALUACIÓN DE PROYECTOS PILOTOS Y/O ESTRATÉGICOS DE SSC.</t>
    </r>
  </si>
  <si>
    <t xml:space="preserve">PROYECTO 5.2 (3202049).
FORTALECIMIENTO, GESTIÓN E IMPLEMENTACIÓN DE MEDIDAS PARA EL MANEJO DE LA FAUNA Y FLORA, EN EL DEPARTAMENTO DEL CESAR. </t>
  </si>
  <si>
    <r>
      <rPr>
        <b/>
        <sz val="10"/>
        <rFont val="Arial Narrow"/>
        <family val="2"/>
      </rPr>
      <t xml:space="preserve">ACT. 5.2.1. </t>
    </r>
    <r>
      <rPr>
        <sz val="10"/>
        <rFont val="Arial Narrow"/>
        <family val="2"/>
      </rPr>
      <t xml:space="preserve">
FORTALECIMIENTO DE GOBERNANZA FORESTAL EN LA JURISDICCIÓN DE CORPOCESAR.</t>
    </r>
  </si>
  <si>
    <r>
      <rPr>
        <b/>
        <sz val="10"/>
        <rFont val="Arial Narrow"/>
        <family val="2"/>
      </rPr>
      <t xml:space="preserve">ACT. 5.2.2. (3202019). </t>
    </r>
    <r>
      <rPr>
        <sz val="10"/>
        <rFont val="Arial Narrow"/>
        <family val="2"/>
      </rPr>
      <t xml:space="preserve">
OPTIMIZACIÓN DEL PROCESO OPERATIVO DEL CAVRFFS 
(INCLUYE LA EJECUCIÓN DE ACCIONES, SEGUIMIENTO Y CONTROL PARA LA PROTECCIÓN DE LA FLORA Y LA FAUNA, CONSERVACIÓN DE LA BIODIVERSIDAD, EDUCACIÓN Y SENSIBILIZACIÓN AMBIENTAL EN EL DEPARTAMENTO DEL CESAR).</t>
    </r>
  </si>
  <si>
    <r>
      <rPr>
        <b/>
        <sz val="10"/>
        <rFont val="Arial Narrow"/>
        <family val="2"/>
      </rPr>
      <t>ACT. 5.2.3. (3202060).</t>
    </r>
    <r>
      <rPr>
        <sz val="10"/>
        <rFont val="Arial Narrow"/>
        <family val="2"/>
      </rPr>
      <t xml:space="preserve">
SERVICIOS DE RESTAURACIÓN DE ECOSISTEMAS ESTRATÉGICOS (DESDE EL PUNTO DE VISTA DE LA ADOPCIÓN DE LA ESTRATEGIA DE SOLUCIONES BASADAS EN LA NATURALEZA (SBN)).</t>
    </r>
  </si>
  <si>
    <r>
      <rPr>
        <b/>
        <sz val="10"/>
        <rFont val="Arial Narrow"/>
        <family val="2"/>
      </rPr>
      <t xml:space="preserve">ACT. 5.2.4. </t>
    </r>
    <r>
      <rPr>
        <sz val="10"/>
        <rFont val="Arial Narrow"/>
        <family val="2"/>
      </rPr>
      <t xml:space="preserve">
IMPLEMENTACIÓN DE ESTRATEGIAS PARA EL MANEJO AMBIENTAL EN TERRITORIOS INDÍGENAS DE LA SIERRA NEVADA DE SANTA MARTA Y SERRANÍA DEL PERIJÁ.</t>
    </r>
  </si>
  <si>
    <r>
      <rPr>
        <b/>
        <sz val="10"/>
        <rFont val="Arial Narrow"/>
        <family val="2"/>
      </rPr>
      <t xml:space="preserve">ACT. 5.2.5. </t>
    </r>
    <r>
      <rPr>
        <sz val="10"/>
        <rFont val="Arial Narrow"/>
        <family val="2"/>
      </rPr>
      <t xml:space="preserve">
IMPLEMENTACIÓN DE ESTRATEGIAS PARA EL MANEJO AMBIENTAL EN COMUNIDADES AFRODESCENDIENTES, OTRAS MINORÍAS ÉTNICAS, Y/O POBLACIONES VULNERABLES EN EL DPTO. DEL CESAR.</t>
    </r>
  </si>
  <si>
    <t xml:space="preserve">PROYECTO 5.3 (3202.008).
GESTIÓN DEL SIRAP (INCLUYE GESTIÓN DE NUEVAS APR)  Y/O CREACIÓN E IMPLEMENTACIÓN DE OTRAS ESTRATEGIAS DE CONSERVACIÓN DE LA BIODIVERSIDAD Y FORMULACIÓN E IMPLEMENTACIÓN Y APOYO DE PM DE AP EN EL DEPARTAMENTO DEL CESAR. </t>
  </si>
  <si>
    <r>
      <rPr>
        <b/>
        <sz val="10"/>
        <rFont val="Arial Narrow"/>
        <family val="2"/>
      </rPr>
      <t xml:space="preserve">ACT. 5.3.1. </t>
    </r>
    <r>
      <rPr>
        <sz val="10"/>
        <rFont val="Arial Narrow"/>
        <family val="2"/>
      </rPr>
      <t xml:space="preserve">
GESTIÓN Y EJECUCIÓN DE ACCIONES ORIENTADAS A LA DECLARATORIA DE AREAS PROTEGIDAS Y/O  CREACIÓN DE ESTRATEGIAS COMPLEMENTARIAS PARA LA CONSERVACIÓN.</t>
    </r>
  </si>
  <si>
    <r>
      <rPr>
        <b/>
        <sz val="10"/>
        <rFont val="Arial Narrow"/>
        <family val="2"/>
      </rPr>
      <t>ACT. 5.3.2.</t>
    </r>
    <r>
      <rPr>
        <sz val="10"/>
        <rFont val="Arial Narrow"/>
        <family val="2"/>
      </rPr>
      <t xml:space="preserve">
FORMULACIÓN E IMPLEMENTACION PLANES DE MANEJO PARA LAS APR Y/O PLANES DE ACCION DE OTRAS ESTRATEGIAS DE CONSERVACIÓN DE LA BIODIVERSIDAD.</t>
    </r>
  </si>
  <si>
    <t>LÍNEA ESTRATÉGICA TRANSVERSAL 2.
GESTIÓN PARA LA CULTURA Y LA EDUCACIÓN AMBIENTAL y LÍNEA ESTRATÉGICA TRANSVERSAL 1 
GESTIÓN PARA EL FORTALECIMIENTO INSTITUCIONAL INTEGRAL.</t>
  </si>
  <si>
    <t>PROGRAMA 6.  3299.
FORTALECIMIENTO DE LA GESTIÓN Y DIRECCIÓN DEL SECTOR AMBIENTE Y DESARROLLO SOSTENIBLE.</t>
  </si>
  <si>
    <t xml:space="preserve">PROYECTO 6.1 (3208.01).
FORTALECIMIENTO DE LA PARTICIPACIÓN CIUDADANA EN LA GESTIÓN AMBIENTAL, CON ENFOQUE DE ETNO-DESARROLLO Y ECOSOCIAL EN EL DPTO. DEL CESAR. </t>
  </si>
  <si>
    <r>
      <rPr>
        <b/>
        <sz val="10"/>
        <rFont val="Arial Narrow"/>
        <family val="2"/>
      </rPr>
      <t xml:space="preserve">ACT. 6.1.1. </t>
    </r>
    <r>
      <rPr>
        <sz val="10"/>
        <rFont val="Arial Narrow"/>
        <family val="2"/>
      </rPr>
      <t xml:space="preserve">
APOYO A LOS GRUPOS MINORITARIOS EN LA FORMULACIÓN DE PLANES DE ETNO-DESARROLLO (COMUNIDADES AFRO) Y PLANES DE VIDA (COMUNIDADES INDÍGENAS).</t>
    </r>
  </si>
  <si>
    <r>
      <rPr>
        <b/>
        <sz val="10"/>
        <rFont val="Arial Narrow"/>
        <family val="2"/>
      </rPr>
      <t xml:space="preserve">ACT. 6.1.2. </t>
    </r>
    <r>
      <rPr>
        <sz val="10"/>
        <rFont val="Arial Narrow"/>
        <family val="2"/>
      </rPr>
      <t xml:space="preserve">
CREACIÓN DE ESCENARIOS DE DIALOGO ENTRE LOS CIUDADANOS Y LAS ENTIDADES PARA EL MANEJO DE CONFLICTOS SOCIOAMBIENTALES EN LA JURISDICCIÓN.</t>
    </r>
  </si>
  <si>
    <t xml:space="preserve">PROYECTO 6.2 (3208.02).
FORTALECIMIENTO Y OPTIMIZACIÓN DEL PROGRAMA TRANSVERSAL DE EDUCACIÓN AMBIENTAL DE LA CORPORACIÓN, ARMONIZADO A LA POLÍTICA NACIONAL DE EDUCACIÓN AMBIENTAL ASOCIADOS A TODOS LOS PROYECTOS DE INVERSIÓN DE LA CORPORACIÓN.  </t>
  </si>
  <si>
    <r>
      <rPr>
        <b/>
        <sz val="10"/>
        <rFont val="Arial Narrow"/>
        <family val="2"/>
      </rPr>
      <t xml:space="preserve">ACT. 6.2.1. </t>
    </r>
    <r>
      <rPr>
        <sz val="10"/>
        <rFont val="Arial Narrow"/>
        <family val="2"/>
      </rPr>
      <t xml:space="preserve">
FORTALECIMIENTO DE LA EDUCACIÓN AMBIENTAL INCORPORANDO EL ENFOQUE DE LAS CÁTEDRAS DE GESTIÓN DEL RIESGO Y CAMBIO CLIMÁTICO, NODOS DE INNOVACIÓN PARA LA EDUCACIÓN AMBIENTAL.</t>
    </r>
  </si>
  <si>
    <r>
      <rPr>
        <b/>
        <sz val="10"/>
        <rFont val="Arial Narrow"/>
        <family val="2"/>
      </rPr>
      <t xml:space="preserve">ACT. 6.2.2. </t>
    </r>
    <r>
      <rPr>
        <sz val="10"/>
        <rFont val="Arial Narrow"/>
        <family val="2"/>
      </rPr>
      <t xml:space="preserve">
FORTALECIMIENTO DE CAPACIDADES A INTEGRANTES DEL SINA, COMO APORTE A LA MODERNIZACIÓN INSTITUCIONAL EN MATERIA DE EDUCACIÓN AMBIENTAL. </t>
    </r>
  </si>
  <si>
    <r>
      <rPr>
        <b/>
        <sz val="10"/>
        <rFont val="Arial Narrow"/>
        <family val="2"/>
      </rPr>
      <t xml:space="preserve">ACT. 6.2.3. </t>
    </r>
    <r>
      <rPr>
        <sz val="10"/>
        <rFont val="Arial Narrow"/>
        <family val="2"/>
      </rPr>
      <t xml:space="preserve">
ACOMPAÑAMIENTO A LA PROMOCIÓN, ORGANIZACIÓN, IMPLEMENTACIÓN E INSTITUCIONALIZACIÓN DE VIGÍAS Y VEEDURÍAS AMBIENTALES.</t>
    </r>
  </si>
  <si>
    <t>PROYECTO 6.3.
PLANEACIÓN,  GESTIÓN E  IMPLEMENTACIÓN DE RECURSOS  PARA OPTIMIZAR LA CAPACIDAD DE DESEMPEÑO INSTITUCIONAL (INFRAESTRUCTURA FÍSICA Y LÓGICA, TECNOLOGÍAS EMERGENTES, RENOVACIÓN TECNOLÓGICA, SEGURIDAD DIGITAL, SOPORTE TÉCNICO OPERACIONAL Y TALENTO DIGITAL) DIRIGIDA AL CUMPLIMIENTO DE LOS OBJETIVOS ESTRATÉGICOS DE LA CORPORACIÓN EN EL MARCO DEL MIPG</t>
  </si>
  <si>
    <r>
      <rPr>
        <b/>
        <sz val="10"/>
        <rFont val="Arial Narrow"/>
        <family val="2"/>
      </rPr>
      <t>ACT. 6.3.1.</t>
    </r>
    <r>
      <rPr>
        <sz val="10"/>
        <rFont val="Arial Narrow"/>
        <family val="2"/>
      </rPr>
      <t xml:space="preserve">
OPTIMIZACIÓN DE LA CAPACIDAD DE RECURSOS FÍSICOS (INFRAESTRUCTURA, HERRAMIENTAS TECNOLÓGICAS INNOVADORAS, TRANSPORTE, MANTENIMIENTO DE EQUIPOS) PARA TODAS LAS SECCIONALES.</t>
    </r>
  </si>
  <si>
    <r>
      <rPr>
        <b/>
        <sz val="10"/>
        <rFont val="Arial Narrow"/>
        <family val="2"/>
      </rPr>
      <t xml:space="preserve">ACT. 6.3.2. </t>
    </r>
    <r>
      <rPr>
        <sz val="10"/>
        <rFont val="Arial Narrow"/>
        <family val="2"/>
      </rPr>
      <t xml:space="preserve">
MEJORAMIENTO DE LOS SISTEMAS DE GESTIÓN ARCHIVÍSTICA (TRD, TVD, PINAR, SIC) Y GESTIÓN DOCUMENTAL (CONSULTA VIRTUAL Y FÍSICA CENTRO DE DOCUMENTACIÓN) SEGÚN PLAN ESPECÍFICO.</t>
    </r>
  </si>
  <si>
    <r>
      <rPr>
        <b/>
        <sz val="10"/>
        <rFont val="Arial Narrow"/>
        <family val="2"/>
      </rPr>
      <t xml:space="preserve">ACT. 6.3.3. </t>
    </r>
    <r>
      <rPr>
        <sz val="10"/>
        <rFont val="Arial Narrow"/>
        <family val="2"/>
      </rPr>
      <t xml:space="preserve">
OPTIMIZACIÓN DEL SISTEMA INTEGRADO DE GESTIÓN DE CALIDAD – SIGC (CALIDAD, SEGURIDAD Y SALUD EN EL TRABAJO Y PIGA) DE LA CORPORACIÓN.</t>
    </r>
  </si>
  <si>
    <r>
      <rPr>
        <b/>
        <sz val="10"/>
        <rFont val="Arial Narrow"/>
        <family val="2"/>
      </rPr>
      <t xml:space="preserve">ACT. 6.3.4. </t>
    </r>
    <r>
      <rPr>
        <sz val="10"/>
        <rFont val="Arial Narrow"/>
        <family val="2"/>
      </rPr>
      <t xml:space="preserve">
FORTALECIMIENTO DEL CONTROL INTERNO DE GESTIÓN EN ARMONÍA CON LA POLÍTICA Y RETOS DEL PGAR (AUDITORIAS).</t>
    </r>
  </si>
  <si>
    <r>
      <rPr>
        <b/>
        <sz val="10"/>
        <rFont val="Arial Narrow"/>
        <family val="2"/>
      </rPr>
      <t xml:space="preserve">ACT. 6.3.5. </t>
    </r>
    <r>
      <rPr>
        <sz val="10"/>
        <rFont val="Arial Narrow"/>
        <family val="2"/>
      </rPr>
      <t xml:space="preserve">
FORTALECIMIENTO DEL BANCO DE PROGRAMAS Y PROYECTOS COMO SOPORTE A LA GESTIÓN DE INVERSIÓN AMBIENTAL DE LA ENTIDAD</t>
    </r>
  </si>
  <si>
    <r>
      <rPr>
        <b/>
        <sz val="10"/>
        <rFont val="Arial Narrow"/>
        <family val="2"/>
      </rPr>
      <t xml:space="preserve">ACT. 6.3.6. </t>
    </r>
    <r>
      <rPr>
        <sz val="10"/>
        <rFont val="Arial Narrow"/>
        <family val="2"/>
      </rPr>
      <t xml:space="preserve">
CONCERTACIÓN, GESTIÓN E IMPLEMENTACIÓN DEL PROGRAMA DE BIENESTAR SOCIAL E INCENTIVOS, Y DE
FORMACIÓN Y CAPACITACIÓN.</t>
    </r>
  </si>
  <si>
    <r>
      <rPr>
        <b/>
        <sz val="10"/>
        <rFont val="Arial Narrow"/>
        <family val="2"/>
      </rPr>
      <t xml:space="preserve">ACT. 6.3.7. </t>
    </r>
    <r>
      <rPr>
        <sz val="10"/>
        <rFont val="Arial Narrow"/>
        <family val="2"/>
      </rPr>
      <t xml:space="preserve">
OPTIMIZACIÓN INTEGRADA DEL SISTEMA DE ATENCIÓN AL CIUDADANO (PQR, VENTANILLA ÚNICA), QUEJAS, SANCIONES AMBIENTALES).</t>
    </r>
  </si>
  <si>
    <t>PROYECTO 6.4. (3204). 
GESTIÓN DE LA INFORMACIÓN Y EL CONOCIMIENTO AMBIENTAL.</t>
  </si>
  <si>
    <r>
      <rPr>
        <b/>
        <sz val="10"/>
        <rFont val="Arial Narrow"/>
        <family val="2"/>
      </rPr>
      <t xml:space="preserve">ACT. 6.4.1. </t>
    </r>
    <r>
      <rPr>
        <sz val="10"/>
        <rFont val="Arial Narrow"/>
        <family val="2"/>
      </rPr>
      <t xml:space="preserve">
GESTIÓN PARA LA IMPLEMENTACIÓN Y OPERACIÓN DE INSTRUMENTOS DE MONITOREO DE LOS RECURSOS NATURALES.</t>
    </r>
  </si>
  <si>
    <r>
      <rPr>
        <b/>
        <sz val="10"/>
        <rFont val="Arial Narrow"/>
        <family val="2"/>
      </rPr>
      <t xml:space="preserve">ACT. 6.4.2. </t>
    </r>
    <r>
      <rPr>
        <sz val="10"/>
        <rFont val="Arial Narrow"/>
        <family val="2"/>
      </rPr>
      <t xml:space="preserve">
OPTIMIZACIÓN DEL LABORATORIO DE CALIDAD DE AIRE.</t>
    </r>
  </si>
  <si>
    <r>
      <rPr>
        <b/>
        <sz val="10"/>
        <rFont val="Arial Narrow"/>
        <family val="2"/>
      </rPr>
      <t xml:space="preserve">ACT. 6.4.3. </t>
    </r>
    <r>
      <rPr>
        <sz val="10"/>
        <rFont val="Arial Narrow"/>
        <family val="2"/>
      </rPr>
      <t xml:space="preserve">
OPTIMIZACIÓN DEL LABORATORIO DE CALIDAD DE AGUA.</t>
    </r>
  </si>
  <si>
    <r>
      <rPr>
        <b/>
        <sz val="10"/>
        <rFont val="Arial Narrow"/>
        <family val="2"/>
      </rPr>
      <t xml:space="preserve">ACT. 6.4.4. </t>
    </r>
    <r>
      <rPr>
        <sz val="10"/>
        <rFont val="Arial Narrow"/>
        <family val="2"/>
      </rPr>
      <t xml:space="preserve">
GESTIÓN PARA LA IMPLEMENTACIÓN DEL LABORATORIO DE SUELO.</t>
    </r>
  </si>
  <si>
    <r>
      <rPr>
        <b/>
        <sz val="10"/>
        <rFont val="Arial Narrow"/>
        <family val="2"/>
      </rPr>
      <t xml:space="preserve">ACT. 6.4.5. </t>
    </r>
    <r>
      <rPr>
        <sz val="10"/>
        <rFont val="Arial Narrow"/>
        <family val="2"/>
      </rPr>
      <t xml:space="preserve">
FORTALECIMIENTO DEL SIPGA – CARDINAL</t>
    </r>
  </si>
  <si>
    <r>
      <rPr>
        <b/>
        <sz val="10"/>
        <rFont val="Arial Narrow"/>
        <family val="2"/>
      </rPr>
      <t xml:space="preserve">ACT. 6.4.6. </t>
    </r>
    <r>
      <rPr>
        <sz val="10"/>
        <rFont val="Arial Narrow"/>
        <family val="2"/>
      </rPr>
      <t xml:space="preserve">
FORTALECIMIENTO DE LOS SISTEMAS DE INFORMACIÓN.</t>
    </r>
  </si>
  <si>
    <r>
      <rPr>
        <b/>
        <sz val="10"/>
        <rFont val="Arial Narrow"/>
        <family val="2"/>
      </rPr>
      <t>ACT. 6.4.7.</t>
    </r>
    <r>
      <rPr>
        <sz val="10"/>
        <rFont val="Arial Narrow"/>
        <family val="2"/>
      </rPr>
      <t xml:space="preserve">
REPORTE Y CARGUE DE LA INFORMACIÓN SOLICITADA POR EL SISTEMA DE INFORMACIÓN AMBIENTAL DE COLOMBIA – SIAC.</t>
    </r>
  </si>
  <si>
    <r>
      <rPr>
        <b/>
        <sz val="10"/>
        <rFont val="Arial Narrow"/>
        <family val="2"/>
      </rPr>
      <t xml:space="preserve">ACT. 6.4.8. </t>
    </r>
    <r>
      <rPr>
        <sz val="10"/>
        <rFont val="Arial Narrow"/>
        <family val="2"/>
      </rPr>
      <t xml:space="preserve">
FORTALECIMIENTO DE LA IMPLEMENTACIÓN DE LA ESTRATEGIA DE COMUNICACIÓN POLÍTICA DE LA GESTIÓN AMBIENTAL PARA LA DIVULGACIÓN INTERINSTITUCIONAL Y APREHENSIÓN CIUDADANA AL SECTOR AMBIENTAL </t>
    </r>
  </si>
  <si>
    <r>
      <rPr>
        <b/>
        <sz val="10"/>
        <rFont val="Arial Narrow"/>
        <family val="2"/>
      </rPr>
      <t xml:space="preserve">ACT. 6.4.9. </t>
    </r>
    <r>
      <rPr>
        <sz val="10"/>
        <rFont val="Arial Narrow"/>
        <family val="2"/>
      </rPr>
      <t xml:space="preserve">
EVALUACIÓN DE LA EVOLUCIÓN DINÁMICA DEL PGAR Y LOS IMPACTOS DE LA GESTIÓN AMBIENTAL SOBRE LA SOSTENIBILIDAD DEL DESARROLLO SOCIO-ECONÓMICO Y LOS INDICADORES MÍNIMOS DE GESTIÓN.</t>
    </r>
  </si>
  <si>
    <r>
      <rPr>
        <b/>
        <sz val="10"/>
        <rFont val="Arial Narrow"/>
        <family val="2"/>
      </rPr>
      <t>ACT. 6.4.10.</t>
    </r>
    <r>
      <rPr>
        <sz val="10"/>
        <rFont val="Arial Narrow"/>
        <family val="2"/>
      </rPr>
      <t xml:space="preserve">
CONSOLIDACIÓN DEL SIAC EN LO RELACIONADO CON LA GENERACIÓN, CONSOLIDACIÓN,ANÁLISIS Y REPORTE EN EL MARCO DEL ACUERDO DE ESCAZÚ.</t>
    </r>
  </si>
  <si>
    <t>PROYECTO 6.5.
CONTROL Y SEGUIMIENTO AMBIENTAL EFECTIVO</t>
  </si>
  <si>
    <r>
      <rPr>
        <b/>
        <sz val="10"/>
        <rFont val="Arial Narrow"/>
        <family val="2"/>
      </rPr>
      <t xml:space="preserve">ACT 6.5.1. </t>
    </r>
    <r>
      <rPr>
        <sz val="10"/>
        <rFont val="Arial Narrow"/>
        <family val="2"/>
      </rPr>
      <t xml:space="preserve">
FORTALECIMIENTO DEL SISTEMA VITALSILAM, SUIT PARA LA OPTIMIZACIÓN DE LOS TRÁMITES AMBIENTALES. (SIAC, SISAIRE, ETC).</t>
    </r>
  </si>
  <si>
    <r>
      <rPr>
        <b/>
        <sz val="10"/>
        <rFont val="Arial Narrow"/>
        <family val="2"/>
      </rPr>
      <t xml:space="preserve">ACT 6.5.2. </t>
    </r>
    <r>
      <rPr>
        <sz val="10"/>
        <rFont val="Arial Narrow"/>
        <family val="2"/>
      </rPr>
      <t xml:space="preserve">
ADQUISICIÓN DE EQUIPOS PARA EL FORTALECIMIENTO DE LAS LABORES DE CONTROL Y SEGUIMIENTO AMBIENTAL.</t>
    </r>
  </si>
  <si>
    <r>
      <rPr>
        <b/>
        <sz val="10"/>
        <rFont val="Arial Narrow"/>
        <family val="2"/>
      </rPr>
      <t xml:space="preserve">ACT 6.5.3. </t>
    </r>
    <r>
      <rPr>
        <sz val="10"/>
        <rFont val="Arial Narrow"/>
        <family val="2"/>
      </rPr>
      <t xml:space="preserve">
OPTIMIZACIÓN DE LOS PROCESOS DE TRÁMITES AMBIENTALES Y SERVICIOS MISIONALES DE LA CORPORACIÓN.</t>
    </r>
  </si>
  <si>
    <r>
      <rPr>
        <b/>
        <sz val="10"/>
        <rFont val="Arial Narrow"/>
        <family val="2"/>
      </rPr>
      <t xml:space="preserve">ACT 6.5.4. </t>
    </r>
    <r>
      <rPr>
        <sz val="10"/>
        <rFont val="Arial Narrow"/>
        <family val="2"/>
      </rPr>
      <t xml:space="preserve">
FORTALECIMIENTO DEL PROCESO DE SEGUIMIENTO DE LOS PROYECTOS DE INVERSION ADELANTADOS POR LA ENTIDAD </t>
    </r>
  </si>
  <si>
    <t>PROYECTO 6.6.
GESTIÓN PARA LA OPTIMIZACIÓN DE LA CAPACIDAD FINANCIERA Y EJECUTORIA DE LA GESTIÓN AMBIENTAL DE LA CORPORACIÓN.</t>
  </si>
  <si>
    <r>
      <rPr>
        <b/>
        <sz val="10"/>
        <rFont val="Arial Narrow"/>
        <family val="2"/>
      </rPr>
      <t xml:space="preserve">ACT. 6.6.1. </t>
    </r>
    <r>
      <rPr>
        <sz val="10"/>
        <rFont val="Arial Narrow"/>
        <family val="2"/>
      </rPr>
      <t xml:space="preserve">
OPTIMIZACIÓN DEL PROCESO OPERATIVO DE LA TUA CON ENFOQUE DE CAMBIO CLIMÁTICO.</t>
    </r>
  </si>
  <si>
    <r>
      <rPr>
        <b/>
        <sz val="10"/>
        <rFont val="Arial Narrow"/>
        <family val="2"/>
      </rPr>
      <t xml:space="preserve">ACT. 6.6.2. </t>
    </r>
    <r>
      <rPr>
        <sz val="10"/>
        <rFont val="Arial Narrow"/>
        <family val="2"/>
      </rPr>
      <t xml:space="preserve">
GESTIÓN DE FUENTES DIFERENTES A LAS TASAS RAE.</t>
    </r>
  </si>
  <si>
    <r>
      <rPr>
        <b/>
        <sz val="10"/>
        <rFont val="Arial Narrow"/>
        <family val="2"/>
      </rPr>
      <t xml:space="preserve">ACT. 6.6.3. </t>
    </r>
    <r>
      <rPr>
        <sz val="10"/>
        <rFont val="Arial Narrow"/>
        <family val="2"/>
      </rPr>
      <t xml:space="preserve">
GESTIÓN E IMPLEMENTACIÓN DE ESTRATEGIA DE FINANCIAMIENTO Y EJECUCIÓN (FONDO SOLIDARIO PARA LA GESTIÓN AMBIENTAL – FSGA-)</t>
    </r>
  </si>
  <si>
    <t>TOTAL PRESUPUESTO DE GASTOS DE INVERSIÓN:</t>
  </si>
  <si>
    <t>Sobretasa ambiental - Urbano-Vigencia actual</t>
  </si>
  <si>
    <t>Tasa por aprovechamiento forestal - Vigencia Actual</t>
  </si>
  <si>
    <t>Depósitos</t>
  </si>
  <si>
    <t>Tasa por el uso del agua - Vigencia Actual</t>
  </si>
  <si>
    <t>Aportes del SGR para Adquisición de bienes y servicios</t>
  </si>
  <si>
    <t>Tasa retributiva -  Vigencia Actual</t>
  </si>
  <si>
    <t>MULTAS AMBIENTALES</t>
  </si>
  <si>
    <t xml:space="preserve">Aportes Fondo de Compensación Ambiental -FCA, inversión </t>
  </si>
  <si>
    <t>APORTES DEL SISTEMA GENERAL DE PARTICIPACION</t>
  </si>
  <si>
    <t>APORTES INVERSION FONDO NACIONAL AMBIENTAL</t>
  </si>
  <si>
    <t>Seguimiento a licencias y trámites ambientales - Vigencia Actual</t>
  </si>
  <si>
    <t>ANEXO 2. MATRIZ DE ACCIONES OPERATIVAS</t>
  </si>
  <si>
    <t>COMPORTAMIENTO META FISICA DEL PLAN DE ACCION</t>
  </si>
  <si>
    <t xml:space="preserve">LINEAS ESTRATEGICAS -
PROGRAMAS - PROYECTOS Y ACTIVIDADES DEL PLAN DE ACCIÓN 2024-2027
</t>
  </si>
  <si>
    <t xml:space="preserve">PONDERACION </t>
  </si>
  <si>
    <t>Actividades</t>
  </si>
  <si>
    <t xml:space="preserve">INDICADOR </t>
  </si>
  <si>
    <t xml:space="preserve">UNIDAD DE MEDIDA </t>
  </si>
  <si>
    <t xml:space="preserve">METAS FISICAS </t>
  </si>
  <si>
    <t>LINEA ESTRATEGICA - PROGRAMAS 4 AÑOS</t>
  </si>
  <si>
    <t>Responsable</t>
  </si>
  <si>
    <t>Descripción de meta</t>
  </si>
  <si>
    <t>Meta fisica 2024 (Ejecutada)</t>
  </si>
  <si>
    <t>Act. 1.1.1. (3201.01.03) Gestión de sistemas bajo esquemas de PSA e incentivos a la conservación: 
Fortalecimiento de capacidades (instrumentación jurídica, gestión y articulación institucional, evaluación y seguimiento, y sostenibilidad financiera.
Implementación del banco de proyectos de PSA
Dinamización el Registro Único de Ecosistemas y Áreas Ambientales (REAA).</t>
  </si>
  <si>
    <t>Ha</t>
  </si>
  <si>
    <t xml:space="preserve">
COORDINADOR GIT PARA LA GESTION AMBIENTAL EN TERRITORIOS Y COMUNIDADES ETNICAS y COORDINADOR GIT PARA LA GESTIÓN DE LA BIODIVERSIDAD Y LOS SERVICIOS ECOSISTEMICOS</t>
  </si>
  <si>
    <t>ok</t>
  </si>
  <si>
    <t>COORDINADOR GIT PARA LA GESTIONDE RESIDUOS PELIGROSOS (RESPEL), PRODUCCION Y CONSUMO SOSTENIBLE</t>
  </si>
  <si>
    <t>OK</t>
  </si>
  <si>
    <t xml:space="preserve">Proyecto1.2 (3201.03). 
Gestión y apoyo regional a la implementación de la estrategia nacional de Economía circular y economía ambiental para la producción sostenible, articulado a las apuestas del Proyecto 2.1
</t>
  </si>
  <si>
    <t xml:space="preserve">Act. 1.2.1 (3201001) Documentos de política para el fortalecimiento del desempeño ambiental de los sectores productivos
(Incluye agendas de trabajo enfocadas a economía circular, como elementos influyentes en la descarbonización de la economía, principalmente en los sectores de agricultura, manufactura y turismo. </t>
  </si>
  <si>
    <t>%</t>
  </si>
  <si>
    <t>Porcentaje de avance en la implementación del programa integral de economía circular y negocios verdes en el marco de los conocimientos y prácticas tradicionales de las comunidades negras, afrocolombianas, raizales y palenqueras que promueva acciones de educación ambiental (negocios consolidados)</t>
  </si>
  <si>
    <t xml:space="preserve">COORDINADOR GIT PARA LA GESTIONDE RESIDUOS PELIGROSOS (RESPEL), PRODUCCION Y CONSUMO SOSTENIBLE </t>
  </si>
  <si>
    <t xml:space="preserve">Proyecto 2.1 (3206.03)
Servicio de apoyo técnico para la implementación de acciones de mitigación y adaptación al cambio climático, a través de la promoción de alternativas para la eficiencia del sector energético en el Cesar, En armonía sistémica con la apuesta del PROGRAMA 1 
</t>
  </si>
  <si>
    <t>COORDINADOR GIT PARA EL ORDENAMIENTO AMBIENTAL Y TERRITORIAL</t>
  </si>
  <si>
    <t xml:space="preserve">Act. 2.1.2. (3206.003.00) Pilotos con acciones de mitigación y adaptación al cambio climático desarrollados incluye, formulación e implementación de intervenciones locales orientadas a reducir las emisiones de GEI, aumento de sumideros de carbono, reducción de la vulnerabilidad, y aumento de la resiliencia a la variabilidad y al cambio climático., apoyada con el proyecto 6.2 (educación ambiental).   </t>
  </si>
  <si>
    <t>Subdireccion General Area de Gestion Ambiental y COORDINADOR GIT PARA EL ORDENAMIENTO AMBIENTAL Y TERRITORIAL</t>
  </si>
  <si>
    <t>Act. 2.2.3. Servicios de información para el seguimiento a los compromisos en cambio climático de Colombia. - Incluye todas las acciones promovidas por el gobierno nacional intra e interinstitucional para incidir con consideraciones de cambio climático en los instrumentos de planeación de los sectores y territorios (Incluye Sistema MRV, Sisclima, entre otros).</t>
  </si>
  <si>
    <t>Documentos de planeación con la propuesta de acciones de mitigación y adaptación al cambio climático diseñados</t>
  </si>
  <si>
    <t xml:space="preserve">LÍNEA ESTRATÉGICA TRANSVERSAL 3
GESTIÓN DEL ORDENAMIENTO AMBIENTAL TERRITORIAL Y GESTIÓN DEL RIESGO
</t>
  </si>
  <si>
    <t xml:space="preserve">Proyecto 3.1 (3203.01)
Documentos de lineamientos técnicos para la gestión integral del recurso hídrico y materialización de la gobernanza en el marco de la PNGIRH, en el dpto. del Cesar.
</t>
  </si>
  <si>
    <t xml:space="preserve">COORDINADOR DEL GIT PARA LA GESTIÓN DEL RIESGO DE DESASTRES Y LA SEGURIDAD HÍDRICA, COORDINADOR GIT PARA LA GESTION DEL LABORATORIO AMBIENTAL, COORDINADOR GIT PARA LA GESTIÓN DEL SEGUIMIENTO AL APROVECHAMIENTO DEL RECURSO HÍDRICO </t>
  </si>
  <si>
    <t>Act. 3.1.4. Formulacion del plan de manejo de microcuencas y/o humedales.</t>
  </si>
  <si>
    <t>Formulación PMA de Microcuencas y/o humedales</t>
  </si>
  <si>
    <t>no se realiazo</t>
  </si>
  <si>
    <t>COORDINADOR DEL GIT PARA LA GESTIÓN DEL RIESGO DE DESASTRES Y LA SEGURIDAD HÍDRICA</t>
  </si>
  <si>
    <t>Coordinador GIT para la Gestión del Seguimiento al Aprovechamiento del Recurso Hídrico</t>
  </si>
  <si>
    <t xml:space="preserve">COORDINADOR GIT PARA LA GESTIÓN DEL SEGUIMIENTO AL APROVECHAMIENTO DEL RECURSO HÍDRICO </t>
  </si>
  <si>
    <t>PSMV´s  aprobados con seguimiento</t>
  </si>
  <si>
    <t>COORDINADOR GIT PARA LA GESTION DE SANEAMIENTO AMBIENTAL Y CONTROL DE VERTIMIENTOS</t>
  </si>
  <si>
    <t xml:space="preserve">Proyecto 3.2 (3701)
Fortalecimiento institucional a los procesos organizativos de concertación; garantía, prevención y respeto de los derechos humanos como fundamentos para la paz y la gobernanza ambiental 
</t>
  </si>
  <si>
    <t>COORDINADOR GIT PARA LA GESTION AMBIENTAL EN TERRITORIOS Y COMUNIDADES ETNICAS, COORDINADOR GIT PARA EL ORDENAMIENTO AMBIENTAL Y TERRITORIAL</t>
  </si>
  <si>
    <t xml:space="preserve">SUBDIRECCION GENERAL AREA DE PLANEACION </t>
  </si>
  <si>
    <t xml:space="preserve">% </t>
  </si>
  <si>
    <t>Act. 4.1.4 Gestión, control, seguimiento y reporte de indicadores de calidad ambiental urbana – ICAU , en los municipios priorizados por el ministerio en el marco de la política nacional PGAU.</t>
  </si>
  <si>
    <t xml:space="preserve">Proyecto 4.2 (3205.002) 
Estudios técnicos para el ordenamiento ambiental territorial, en armonía con la apuesta del PROGRAMA 2. 
</t>
  </si>
  <si>
    <t xml:space="preserve">LÍNEA ESTRATÉGICA TRANSVERSAL 5. 
GESTIÓN DE ASUNTOS AMBIENTALES SECTORIALES.
</t>
  </si>
  <si>
    <t xml:space="preserve">Proyecto 5.1. (3202.001) 
Coordinación y Desarrollo de portafolios de sistemas sostenibles de conservación - SSC- (conservación, restauración, manejo sostenible, agroforestales, reconversión productiva) en el departamento del Cesar
</t>
  </si>
  <si>
    <t>COORDINADOR GIT PARA LA GESTIÓN DE LA BIODIVERSIDAD Y LOS SERVICIOS ECOSISTEMICOS</t>
  </si>
  <si>
    <t>Act. 5.1.3. Apoyo para la formulación, seguimiento y evaluación de proyectos pilotos y/o estratégicos de SSC.</t>
  </si>
  <si>
    <t xml:space="preserve">Proyecto 5.2 (3202049)
Fortalecimiento, gestión e implementación de medidas para el manejo de la fauna y flora, en el departamento del Cesar.
</t>
  </si>
  <si>
    <t>COORDINADOR GIT PARA LA GESTION DEL RECURSO FORESTAL</t>
  </si>
  <si>
    <t>Act. 5.2.2. (3202019) Optimización del proceso operativo del CAVRFFS 
(Incluye la ejecución de acciones, seguimiento y control para la protección de la flora y la fauna, Conservación de la biodiversidad, educación y sensibilización ambiental en el departamento del Cesar).</t>
  </si>
  <si>
    <t xml:space="preserve">Hectáreas
</t>
  </si>
  <si>
    <t>COORDINADOR GIT PARA LA GESTION AMBIENTAL EN TERRITORIOS Y COMUNIDADES ETNICAS</t>
  </si>
  <si>
    <t>Act. 5.3.1. Gestión y ejecución de acciones orientadas a la declaratoria de areas protegidas y/o  creación de estrategias complementarias para la conservación.</t>
  </si>
  <si>
    <t>Act. 5.3.2 Formulación e implementacion planes de manejo para las APR y/o planes de accion de otras estrategias de conservación de la biodiversidad.</t>
  </si>
  <si>
    <t xml:space="preserve">LÍNEA ESTRATÉGICA TRANSVERSAL 2 
GESTIÓN PARA LA CULTURA Y LA EDUCACIÓN AMBIENTAL y LÍNEA ESTRATÉGICA TRANSVERSAL 1 
GESTIÓN PARA EL FORTALECIMIENTO INSTITUCIONAL INTEGRAL
</t>
  </si>
  <si>
    <t xml:space="preserve">Acciones de carácter ambiental en torno a la Gestión  para el apoyo en el Plan de Etno desarrollo </t>
  </si>
  <si>
    <t>Act. 6.1.2. Creación de escenarios de dialogo entre los ciudadanos y las entidades para el manejo de conflictos socioambientales en la jurisdicción.</t>
  </si>
  <si>
    <t>COORDINADOR GIT PARA LA GESTION EDUCACION AMBIENTAL INTEGRAL Y PARTICIPACION CIUDADANA</t>
  </si>
  <si>
    <t>Acciones para mantenibilidad y escalabilidad de la infraestructura fisica y/o tecnologica</t>
  </si>
  <si>
    <t>SUBDIRECCION GENERAL ADMINISTRATIVA Y FINANCIERA</t>
  </si>
  <si>
    <t>SECRETARIA GENERAL</t>
  </si>
  <si>
    <t>OFICINA DE CONTROL INTERNO</t>
  </si>
  <si>
    <r>
      <t>Proyecto 6.4. (3204)</t>
    </r>
    <r>
      <rPr>
        <sz val="18"/>
        <color rgb="FFED0000"/>
        <rFont val="Arial Narrow"/>
        <family val="2"/>
      </rPr>
      <t xml:space="preserve"> </t>
    </r>
    <r>
      <rPr>
        <sz val="18"/>
        <color theme="1"/>
        <rFont val="Arial Narrow"/>
        <family val="2"/>
      </rPr>
      <t>Gestión de la Información y el conocimiento ambiental</t>
    </r>
  </si>
  <si>
    <t>COORDINADOR GIT PARA LA GESTION DEL LABORATORIO AMBIENTAL</t>
  </si>
  <si>
    <t>acciones de fortalecimiento</t>
  </si>
  <si>
    <t>Act. 6.4.7 Reporte y cargue de la información solicitada por el Sistema de Información Ambiental de Colombia – SIAC.</t>
  </si>
  <si>
    <t xml:space="preserve"> Reportes de información </t>
  </si>
  <si>
    <t>SUBDIRECCION GENERAL AREA DE GESTION AMBIENTAL, COORDINADOR GIT PARA LA GESTIÓN DEL SEGUIMIENTO AL APROVECHAMIENTO DEL RECURSO HÍDRICO, COORDINADOR GIT PARA LA GESTION DEL LABORATORIO AMBIENTAL, COORDINADOR GIT PARA LA GESTIONDE RESIDUOS PELIGROSOS (RESPEL), PRODUCCION Y CONSUMO SOSTENIBLE Y COORDINADOR GIT PARA LA GESTION DEL RECURSO FORESTAL (Subd Gestión Ambiental - Coord Aprov Hidrico, Laboratorio, RESPEL, Recurso Forestal)</t>
  </si>
  <si>
    <t>Act. 6.4.10 Consolidación del SIAC en lo relacionado con la generación, consolidación,análisis y reporte en el marco del acuerdo de Escazú.</t>
  </si>
  <si>
    <t>SUBDIRECCION GENERAL AREA DE GESTION AMBIENTAL</t>
  </si>
  <si>
    <r>
      <t>Proyecto 6.5</t>
    </r>
    <r>
      <rPr>
        <sz val="18"/>
        <color theme="1"/>
        <rFont val="Arial Narrow"/>
        <family val="2"/>
      </rPr>
      <t xml:space="preserve"> Control y seguimiento ambiental efectivo</t>
    </r>
  </si>
  <si>
    <t>SUBDIRECCION GENERAL AREA DE GESTION AMBIENTAL, SUBDIRECCION GENERAL AREA DE PLANEACION, COORDINAR GIT PARA LA GESTIÓN JURÍDICA - AMBIENTAL, COORDINADOR GIT PARA LA GESTION DEL LABORATORIO AMBIENTAL, COORDINADOR GIT PARA EL ORDENAMIENTO AMBIENTAL Y TERRITORIAL, COORDINADOR GIT PARA LA GESTIONDE RESIDUOS PELIGROSOS (RESPEL) PRODUCCION Y CONSUMO SOSTENIBLE, COORDINADOR GIT PARA LA GESTION DE SANEAMIENTO AMBIENTAL Y CONTROL DE VERTIMIENTOS, COORDINADOR GIT PARA LA GESTIÓN DEL SEGUIMIENTO AL APROVECHAMIENTO DEL RECURSO HÍDRICO</t>
  </si>
  <si>
    <t>Avance de la optimización del proceso operativo de TUA y otras tasas</t>
  </si>
  <si>
    <t>acciones y/o estrategias implementadas y/o gestionadas</t>
  </si>
  <si>
    <t>Lineamientos estratégicos sostenibles formulados y con seguimiento y/o evaluación.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</si>
</sst>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4" formatCode="_-&quot;$&quot;\ * #,##0.00_-;\-&quot;$&quot;\ * #,##0.00_-;_-&quot;$&quot;\ * &quot;-&quot;??_-;_-@_-"/>
    <numFmt numFmtId="43" formatCode="_-* #,##0.00_-;\-* #,##0.00_-;_-* &quot;-&quot;??_-;_-@_-"/>
    <numFmt numFmtId="164" formatCode="0.0%"/>
    <numFmt numFmtId="165" formatCode="[$$-240A]\ #,##0"/>
    <numFmt numFmtId="166" formatCode="_ &quot;$&quot;\ * #,##0.00_ ;_ &quot;$&quot;\ * \-#,##0.00_ ;_ &quot;$&quot;\ * &quot;-&quot;??_ ;_ @_ "/>
    <numFmt numFmtId="167" formatCode="_-&quot;$&quot;\ * #,##0_-;\-&quot;$&quot;\ * #,##0_-;_-&quot;$&quot;\ * &quot;-&quot;??_-;_-@_-"/>
    <numFmt numFmtId="168" formatCode="_ &quot;$&quot;\ * #,##0_ ;_ &quot;$&quot;\ * \-#,##0_ ;_ &quot;$&quot;\ * &quot;-&quot;??_ ;_ @_ "/>
    <numFmt numFmtId="169" formatCode="#,##0.00_ ;\-#,##0.00\ "/>
    <numFmt numFmtId="170" formatCode="_-* #,##0.00\ _€_-;\-* #,##0.00\ _€_-;_-* &quot;-&quot;??\ _€_-;_-@_-"/>
    <numFmt numFmtId="171" formatCode="[$$-240A]\ #,##0.00"/>
  </numFmts>
  <fonts count="55" x14ac:knownFonts="1">
    <font>
      <sz val="11"/>
      <color theme="1"/>
      <name val="Arial"/>
    </font>
    <font>
      <sz val="11"/>
      <color theme="1"/>
      <name val="Calibri"/>
      <family val="2"/>
      <scheme val="minor"/>
    </font>
    <font>
      <b/>
      <sz val="10"/>
      <color theme="1"/>
      <name val="Arial"/>
      <family val="2"/>
    </font>
    <font>
      <sz val="11"/>
      <name val="Arial"/>
      <family val="2"/>
    </font>
    <font>
      <sz val="10"/>
      <color theme="1"/>
      <name val="Arial"/>
      <family val="2"/>
    </font>
    <font>
      <sz val="11"/>
      <color rgb="FF000000"/>
      <name val="Calibri"/>
      <family val="2"/>
    </font>
    <font>
      <sz val="10"/>
      <color rgb="FF000000"/>
      <name val="Arial"/>
      <family val="2"/>
    </font>
    <font>
      <sz val="11"/>
      <color theme="1"/>
      <name val="Arial"/>
      <family val="2"/>
    </font>
    <font>
      <sz val="9"/>
      <color indexed="81"/>
      <name val="Tahoma"/>
      <family val="2"/>
    </font>
    <font>
      <b/>
      <sz val="9"/>
      <color indexed="81"/>
      <name val="Tahoma"/>
      <family val="2"/>
    </font>
    <font>
      <sz val="8"/>
      <name val="Arial"/>
      <family val="2"/>
    </font>
    <font>
      <u/>
      <sz val="11"/>
      <color theme="10"/>
      <name val="Arial"/>
      <family val="2"/>
    </font>
    <font>
      <b/>
      <sz val="10"/>
      <color theme="1"/>
      <name val="Calibri"/>
      <family val="2"/>
    </font>
    <font>
      <sz val="10"/>
      <color rgb="FF000000"/>
      <name val="Calibri"/>
      <family val="2"/>
    </font>
    <font>
      <b/>
      <sz val="10"/>
      <color rgb="FF000000"/>
      <name val="Calibri"/>
      <family val="2"/>
    </font>
    <font>
      <sz val="10"/>
      <name val="Arial"/>
      <family val="2"/>
    </font>
    <font>
      <sz val="10"/>
      <color theme="1"/>
      <name val="Calibri"/>
      <family val="2"/>
    </font>
    <font>
      <sz val="10"/>
      <name val="Calibri"/>
      <family val="2"/>
    </font>
    <font>
      <u/>
      <sz val="10"/>
      <color theme="10"/>
      <name val="Arial"/>
      <family val="2"/>
    </font>
    <font>
      <b/>
      <sz val="10"/>
      <name val="Arial"/>
      <family val="2"/>
    </font>
    <font>
      <sz val="10"/>
      <color rgb="FF424242"/>
      <name val="Arial"/>
      <family val="2"/>
    </font>
    <font>
      <b/>
      <sz val="10"/>
      <color rgb="FF000000"/>
      <name val="Arial"/>
      <family val="2"/>
    </font>
    <font>
      <b/>
      <sz val="11"/>
      <color theme="1"/>
      <name val="Arial"/>
      <family val="2"/>
    </font>
    <font>
      <sz val="11"/>
      <name val="Arial Nova Cond Light"/>
      <family val="2"/>
    </font>
    <font>
      <sz val="12"/>
      <color theme="1"/>
      <name val="Arial Nova Cond Light"/>
      <family val="2"/>
    </font>
    <font>
      <sz val="11"/>
      <color theme="1"/>
      <name val="Arial"/>
      <family val="2"/>
    </font>
    <font>
      <sz val="10"/>
      <name val="Arial"/>
      <family val="2"/>
    </font>
    <font>
      <b/>
      <sz val="12"/>
      <name val="Arial Narrow"/>
      <family val="2"/>
    </font>
    <font>
      <b/>
      <sz val="11"/>
      <name val="Arial Narrow"/>
      <family val="2"/>
    </font>
    <font>
      <sz val="10"/>
      <name val="Arial Narrow"/>
      <family val="2"/>
    </font>
    <font>
      <sz val="12"/>
      <name val="Arial Narrow"/>
      <family val="2"/>
    </font>
    <font>
      <sz val="12"/>
      <color theme="1"/>
      <name val="Arial Narrow"/>
      <family val="2"/>
    </font>
    <font>
      <b/>
      <sz val="10"/>
      <name val="Arial Narrow"/>
      <family val="2"/>
    </font>
    <font>
      <sz val="10"/>
      <color theme="1"/>
      <name val="Arial Narrow"/>
      <family val="2"/>
    </font>
    <font>
      <sz val="11"/>
      <name val="Arial Narrow"/>
      <family val="2"/>
    </font>
    <font>
      <sz val="10"/>
      <color rgb="FFFF0000"/>
      <name val="Arial Narrow"/>
      <family val="2"/>
    </font>
    <font>
      <b/>
      <sz val="12"/>
      <color theme="1"/>
      <name val="Arial Narrow"/>
      <family val="2"/>
    </font>
    <font>
      <b/>
      <sz val="10"/>
      <color theme="1"/>
      <name val="Arial Narrow"/>
      <family val="2"/>
    </font>
    <font>
      <sz val="11"/>
      <color theme="1"/>
      <name val="Arial Narrow"/>
      <family val="2"/>
    </font>
    <font>
      <sz val="11"/>
      <color theme="1"/>
      <name val="Calibri"/>
      <scheme val="minor"/>
    </font>
    <font>
      <b/>
      <sz val="24"/>
      <color theme="1"/>
      <name val="Calibri"/>
      <family val="2"/>
    </font>
    <font>
      <b/>
      <sz val="18"/>
      <color theme="1"/>
      <name val="Arial Narrow"/>
      <family val="2"/>
    </font>
    <font>
      <sz val="18"/>
      <name val="Calibri"/>
      <family val="2"/>
    </font>
    <font>
      <sz val="11"/>
      <color theme="1"/>
      <name val="Calibri"/>
      <family val="2"/>
    </font>
    <font>
      <b/>
      <sz val="14"/>
      <color theme="1"/>
      <name val="Arial Narrow"/>
      <family val="2"/>
    </font>
    <font>
      <sz val="18"/>
      <color theme="1"/>
      <name val="Calibri"/>
      <family val="2"/>
    </font>
    <font>
      <b/>
      <sz val="18"/>
      <color theme="1"/>
      <name val="Calibri"/>
      <family val="2"/>
    </font>
    <font>
      <sz val="18"/>
      <color theme="1"/>
      <name val="Arial Narrow"/>
      <family val="2"/>
    </font>
    <font>
      <sz val="20"/>
      <color theme="1"/>
      <name val="Calibri"/>
      <family val="2"/>
      <scheme val="minor"/>
    </font>
    <font>
      <sz val="18"/>
      <color rgb="FF000000"/>
      <name val="Arial Narrow"/>
      <family val="2"/>
    </font>
    <font>
      <sz val="9.6"/>
      <color theme="1"/>
      <name val="Arial"/>
      <family val="2"/>
    </font>
    <font>
      <sz val="18"/>
      <color rgb="FFED0000"/>
      <name val="Arial Narrow"/>
      <family val="2"/>
    </font>
    <font>
      <sz val="18"/>
      <name val="Arial Narrow"/>
      <family val="2"/>
    </font>
    <font>
      <b/>
      <sz val="18"/>
      <name val="Calibri"/>
      <family val="2"/>
    </font>
    <font>
      <b/>
      <sz val="11"/>
      <color theme="1"/>
      <name val="Calibri"/>
      <family val="2"/>
    </font>
  </fonts>
  <fills count="41">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92D050"/>
        <bgColor rgb="FFB4C6E7"/>
      </patternFill>
    </fill>
    <fill>
      <patternFill patternType="solid">
        <fgColor rgb="FF92D050"/>
        <bgColor indexed="64"/>
      </patternFill>
    </fill>
    <fill>
      <patternFill patternType="solid">
        <fgColor rgb="FFABDB77"/>
        <bgColor rgb="FFD9E2F3"/>
      </patternFill>
    </fill>
    <fill>
      <patternFill patternType="solid">
        <fgColor rgb="FFABDB77"/>
        <bgColor indexed="64"/>
      </patternFill>
    </fill>
    <fill>
      <patternFill patternType="solid">
        <fgColor rgb="FFD0EBB3"/>
        <bgColor indexed="64"/>
      </patternFill>
    </fill>
    <fill>
      <patternFill patternType="solid">
        <fgColor rgb="FFABDB77"/>
        <bgColor rgb="FFD9E6FC"/>
      </patternFill>
    </fill>
    <fill>
      <patternFill patternType="solid">
        <fgColor rgb="FF92D050"/>
        <bgColor rgb="FFB3CEFA"/>
      </patternFill>
    </fill>
    <fill>
      <patternFill patternType="solid">
        <fgColor rgb="FFD0EBB3"/>
        <bgColor rgb="FFD9E6FC"/>
      </patternFill>
    </fill>
    <fill>
      <patternFill patternType="solid">
        <fgColor rgb="FFD0EBB3"/>
        <bgColor rgb="FFFFFFFF"/>
      </patternFill>
    </fill>
    <fill>
      <patternFill patternType="solid">
        <fgColor rgb="FFFFC000"/>
        <bgColor indexed="64"/>
      </patternFill>
    </fill>
    <fill>
      <patternFill patternType="solid">
        <fgColor theme="0"/>
        <bgColor indexed="64"/>
      </patternFill>
    </fill>
    <fill>
      <patternFill patternType="solid">
        <fgColor rgb="FFFFFF00"/>
        <bgColor indexed="64"/>
      </patternFill>
    </fill>
    <fill>
      <patternFill patternType="solid">
        <fgColor theme="0"/>
        <bgColor rgb="FFFFFF00"/>
      </patternFill>
    </fill>
    <fill>
      <patternFill patternType="solid">
        <fgColor rgb="FFE1FFE1"/>
        <bgColor rgb="FF92D050"/>
      </patternFill>
    </fill>
    <fill>
      <patternFill patternType="solid">
        <fgColor rgb="FFE1FFE1"/>
        <bgColor indexed="64"/>
      </patternFill>
    </fill>
    <fill>
      <patternFill patternType="solid">
        <fgColor rgb="FFFFFF00"/>
        <bgColor rgb="FF66FF66"/>
      </patternFill>
    </fill>
    <fill>
      <patternFill patternType="solid">
        <fgColor rgb="FF99FF99"/>
        <bgColor rgb="FF99FF99"/>
      </patternFill>
    </fill>
    <fill>
      <patternFill patternType="solid">
        <fgColor rgb="FFCCFFCC"/>
        <bgColor rgb="FF66FF66"/>
      </patternFill>
    </fill>
    <fill>
      <patternFill patternType="solid">
        <fgColor rgb="FFCCFFCC"/>
        <bgColor rgb="FFCCFFCC"/>
      </patternFill>
    </fill>
    <fill>
      <patternFill patternType="solid">
        <fgColor rgb="FFCCFFCC"/>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7" tint="0.79998168889431442"/>
        <bgColor rgb="FF66FF66"/>
      </patternFill>
    </fill>
    <fill>
      <patternFill patternType="solid">
        <fgColor rgb="FFCCFFCC"/>
        <bgColor rgb="FF99FFCC"/>
      </patternFill>
    </fill>
    <fill>
      <patternFill patternType="solid">
        <fgColor theme="0" tint="-4.9989318521683403E-2"/>
        <bgColor indexed="64"/>
      </patternFill>
    </fill>
    <fill>
      <patternFill patternType="solid">
        <fgColor theme="6" tint="0.59999389629810485"/>
        <bgColor rgb="FF66FF66"/>
      </patternFill>
    </fill>
    <fill>
      <patternFill patternType="solid">
        <fgColor theme="2" tint="-9.9978637043366805E-2"/>
        <bgColor indexed="64"/>
      </patternFill>
    </fill>
    <fill>
      <patternFill patternType="solid">
        <fgColor theme="4" tint="0.79998168889431442"/>
        <bgColor rgb="FF66FF66"/>
      </patternFill>
    </fill>
    <fill>
      <patternFill patternType="solid">
        <fgColor theme="6" tint="0.79998168889431442"/>
        <bgColor rgb="FF66FF66"/>
      </patternFill>
    </fill>
    <fill>
      <patternFill patternType="solid">
        <fgColor rgb="FFFFFF00"/>
        <bgColor rgb="FF99FF99"/>
      </patternFill>
    </fill>
    <fill>
      <patternFill patternType="solid">
        <fgColor rgb="FFFFFF99"/>
        <bgColor rgb="FFFFFF99"/>
      </patternFill>
    </fill>
    <fill>
      <patternFill patternType="solid">
        <fgColor rgb="FFDEEAF6"/>
        <bgColor rgb="FFDEEAF6"/>
      </patternFill>
    </fill>
    <fill>
      <patternFill patternType="solid">
        <fgColor rgb="FF00B0F0"/>
        <bgColor theme="0"/>
      </patternFill>
    </fill>
    <fill>
      <patternFill patternType="solid">
        <fgColor theme="4" tint="0.39997558519241921"/>
        <bgColor theme="0"/>
      </patternFill>
    </fill>
    <fill>
      <patternFill patternType="solid">
        <fgColor rgb="FF00B0F0"/>
        <bgColor indexed="64"/>
      </patternFill>
    </fill>
    <fill>
      <patternFill patternType="solid">
        <fgColor theme="4" tint="0.39997558519241921"/>
        <bgColor indexed="64"/>
      </patternFill>
    </fill>
    <fill>
      <patternFill patternType="solid">
        <fgColor theme="5" tint="0.59999389629810485"/>
        <bgColor indexed="64"/>
      </patternFill>
    </fill>
  </fills>
  <borders count="9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thin">
        <color rgb="FF000000"/>
      </left>
      <right style="thin">
        <color rgb="FF000000"/>
      </right>
      <top style="thin">
        <color rgb="FF000000"/>
      </top>
      <bottom style="medium">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rgb="FF000000"/>
      </left>
      <right style="medium">
        <color indexed="64"/>
      </right>
      <top style="thin">
        <color rgb="FF000000"/>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diagonal/>
    </border>
    <border>
      <left style="medium">
        <color indexed="64"/>
      </left>
      <right style="medium">
        <color indexed="64"/>
      </right>
      <top style="medium">
        <color indexed="64"/>
      </top>
      <bottom style="thin">
        <color indexed="64"/>
      </bottom>
      <diagonal/>
    </border>
    <border>
      <left style="thin">
        <color rgb="FF000000"/>
      </left>
      <right/>
      <top style="thin">
        <color rgb="FF000000"/>
      </top>
      <bottom/>
      <diagonal/>
    </border>
    <border>
      <left style="medium">
        <color indexed="64"/>
      </left>
      <right style="medium">
        <color indexed="64"/>
      </right>
      <top style="thin">
        <color indexed="64"/>
      </top>
      <bottom style="thin">
        <color indexed="64"/>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diagonal/>
    </border>
    <border>
      <left style="medium">
        <color indexed="64"/>
      </left>
      <right style="medium">
        <color indexed="64"/>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right style="thin">
        <color rgb="FF000000"/>
      </right>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8">
    <xf numFmtId="0" fontId="0" fillId="0" borderId="0"/>
    <xf numFmtId="0" fontId="5" fillId="0" borderId="0" applyBorder="0"/>
    <xf numFmtId="0" fontId="11" fillId="0" borderId="0" applyNumberFormat="0" applyFill="0" applyBorder="0" applyAlignment="0" applyProtection="0"/>
    <xf numFmtId="44" fontId="25" fillId="0" borderId="0" applyFont="0" applyFill="0" applyBorder="0" applyAlignment="0" applyProtection="0"/>
    <xf numFmtId="166" fontId="26" fillId="0" borderId="0" applyFont="0" applyFill="0" applyBorder="0" applyAlignment="0" applyProtection="0"/>
    <xf numFmtId="0" fontId="1" fillId="0" borderId="0"/>
    <xf numFmtId="43" fontId="1" fillId="0" borderId="0" applyFont="0" applyFill="0" applyBorder="0" applyAlignment="0" applyProtection="0"/>
    <xf numFmtId="0" fontId="39" fillId="0" borderId="0"/>
  </cellStyleXfs>
  <cellXfs count="609">
    <xf numFmtId="0" fontId="0" fillId="0" borderId="0" xfId="0"/>
    <xf numFmtId="0" fontId="4" fillId="0" borderId="5" xfId="0" applyFont="1" applyBorder="1" applyAlignment="1">
      <alignment vertical="center"/>
    </xf>
    <xf numFmtId="0" fontId="4" fillId="0" borderId="0" xfId="0" applyFont="1"/>
    <xf numFmtId="0" fontId="4" fillId="0" borderId="0" xfId="0" applyFont="1" applyAlignment="1">
      <alignment vertical="center"/>
    </xf>
    <xf numFmtId="0" fontId="4"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right"/>
    </xf>
    <xf numFmtId="0" fontId="6" fillId="0" borderId="0" xfId="0" applyFont="1" applyAlignment="1">
      <alignment vertical="center"/>
    </xf>
    <xf numFmtId="0" fontId="6" fillId="0" borderId="11" xfId="0" applyFont="1" applyBorder="1" applyAlignment="1">
      <alignment vertical="center"/>
    </xf>
    <xf numFmtId="0" fontId="13" fillId="0" borderId="0" xfId="0" applyFont="1"/>
    <xf numFmtId="0" fontId="13" fillId="0" borderId="0" xfId="0" applyFont="1" applyAlignment="1">
      <alignment horizontal="center"/>
    </xf>
    <xf numFmtId="0" fontId="14" fillId="5" borderId="26" xfId="0" applyFont="1" applyFill="1" applyBorder="1" applyAlignment="1">
      <alignment horizontal="center"/>
    </xf>
    <xf numFmtId="0" fontId="14" fillId="5" borderId="7" xfId="0" applyFont="1" applyFill="1" applyBorder="1" applyAlignment="1">
      <alignment horizontal="center"/>
    </xf>
    <xf numFmtId="0" fontId="14" fillId="5" borderId="27" xfId="0" applyFont="1" applyFill="1" applyBorder="1" applyAlignment="1">
      <alignment horizontal="center"/>
    </xf>
    <xf numFmtId="0" fontId="13" fillId="7" borderId="26" xfId="0" applyFont="1" applyFill="1" applyBorder="1"/>
    <xf numFmtId="0" fontId="13" fillId="7" borderId="7" xfId="0" applyFont="1" applyFill="1" applyBorder="1"/>
    <xf numFmtId="0" fontId="13" fillId="7" borderId="27" xfId="0" applyFont="1" applyFill="1" applyBorder="1"/>
    <xf numFmtId="0" fontId="4" fillId="0" borderId="32" xfId="0" applyFont="1" applyBorder="1"/>
    <xf numFmtId="0" fontId="4" fillId="0" borderId="33" xfId="0" applyFont="1" applyBorder="1"/>
    <xf numFmtId="0" fontId="4" fillId="0" borderId="34" xfId="0" applyFont="1" applyBorder="1"/>
    <xf numFmtId="0" fontId="16" fillId="6" borderId="14" xfId="0" applyFont="1" applyFill="1" applyBorder="1" applyAlignment="1">
      <alignment horizontal="center"/>
    </xf>
    <xf numFmtId="0" fontId="16" fillId="6" borderId="15" xfId="0" applyFont="1" applyFill="1" applyBorder="1" applyAlignment="1">
      <alignment horizontal="center"/>
    </xf>
    <xf numFmtId="0" fontId="4" fillId="0" borderId="26" xfId="0" applyFont="1" applyBorder="1"/>
    <xf numFmtId="0" fontId="4" fillId="0" borderId="7" xfId="0" applyFont="1" applyBorder="1"/>
    <xf numFmtId="0" fontId="4" fillId="0" borderId="27" xfId="0" applyFont="1" applyBorder="1"/>
    <xf numFmtId="0" fontId="16" fillId="7" borderId="16" xfId="0" applyFont="1" applyFill="1" applyBorder="1" applyAlignment="1">
      <alignment horizontal="center"/>
    </xf>
    <xf numFmtId="0" fontId="17" fillId="3" borderId="11" xfId="0" applyFont="1" applyFill="1" applyBorder="1"/>
    <xf numFmtId="0" fontId="16" fillId="7" borderId="10" xfId="0" applyFont="1" applyFill="1" applyBorder="1" applyAlignment="1">
      <alignment horizontal="center"/>
    </xf>
    <xf numFmtId="0" fontId="16" fillId="7" borderId="12" xfId="0" applyFont="1" applyFill="1" applyBorder="1" applyAlignment="1">
      <alignment horizontal="center"/>
    </xf>
    <xf numFmtId="0" fontId="17" fillId="3" borderId="13" xfId="0" applyFont="1" applyFill="1" applyBorder="1"/>
    <xf numFmtId="0" fontId="18" fillId="0" borderId="0" xfId="2" applyFont="1"/>
    <xf numFmtId="0" fontId="13" fillId="7" borderId="7" xfId="1" applyFont="1" applyFill="1" applyBorder="1"/>
    <xf numFmtId="0" fontId="13" fillId="7" borderId="27" xfId="1" applyFont="1" applyFill="1" applyBorder="1"/>
    <xf numFmtId="0" fontId="13" fillId="8" borderId="26" xfId="0" applyFont="1" applyFill="1" applyBorder="1"/>
    <xf numFmtId="0" fontId="13" fillId="8" borderId="7" xfId="0" applyFont="1" applyFill="1" applyBorder="1"/>
    <xf numFmtId="0" fontId="13" fillId="8" borderId="27" xfId="0" applyFont="1" applyFill="1" applyBorder="1"/>
    <xf numFmtId="0" fontId="13" fillId="8" borderId="0" xfId="0" applyFont="1" applyFill="1"/>
    <xf numFmtId="0" fontId="13" fillId="7" borderId="0" xfId="0" applyFont="1" applyFill="1"/>
    <xf numFmtId="0" fontId="13" fillId="8" borderId="28" xfId="0" applyFont="1" applyFill="1" applyBorder="1"/>
    <xf numFmtId="0" fontId="13" fillId="8" borderId="29" xfId="0" applyFont="1" applyFill="1" applyBorder="1"/>
    <xf numFmtId="0" fontId="13" fillId="8" borderId="30" xfId="1" applyFont="1" applyFill="1" applyBorder="1"/>
    <xf numFmtId="0" fontId="4" fillId="0" borderId="35" xfId="0" applyFont="1" applyBorder="1"/>
    <xf numFmtId="0" fontId="4" fillId="0" borderId="36" xfId="0" applyFont="1" applyBorder="1"/>
    <xf numFmtId="0" fontId="4" fillId="0" borderId="31" xfId="0" applyFont="1" applyBorder="1"/>
    <xf numFmtId="0" fontId="4" fillId="0" borderId="28" xfId="0" applyFont="1" applyBorder="1"/>
    <xf numFmtId="0" fontId="4" fillId="0" borderId="29" xfId="0" applyFont="1" applyBorder="1"/>
    <xf numFmtId="0" fontId="4" fillId="0" borderId="30" xfId="0" applyFont="1" applyBorder="1"/>
    <xf numFmtId="0" fontId="4" fillId="6" borderId="26" xfId="0" applyFont="1" applyFill="1" applyBorder="1" applyAlignment="1">
      <alignment horizontal="center" vertical="center"/>
    </xf>
    <xf numFmtId="0" fontId="4" fillId="6" borderId="7" xfId="0" applyFont="1" applyFill="1" applyBorder="1" applyAlignment="1">
      <alignment horizontal="center" vertical="center" wrapText="1"/>
    </xf>
    <xf numFmtId="0" fontId="4" fillId="6" borderId="27" xfId="0" applyFont="1" applyFill="1" applyBorder="1" applyAlignment="1">
      <alignment horizontal="center" vertical="center"/>
    </xf>
    <xf numFmtId="0" fontId="4" fillId="0" borderId="27" xfId="0" applyFont="1" applyBorder="1" applyAlignment="1">
      <alignment horizontal="center" vertical="center"/>
    </xf>
    <xf numFmtId="0" fontId="2" fillId="5" borderId="7" xfId="0" applyFont="1" applyFill="1" applyBorder="1" applyAlignment="1">
      <alignment horizontal="center" vertical="center" wrapText="1"/>
    </xf>
    <xf numFmtId="0" fontId="2" fillId="5" borderId="7" xfId="0" applyFont="1" applyFill="1" applyBorder="1" applyAlignment="1">
      <alignment horizontal="center" vertical="center"/>
    </xf>
    <xf numFmtId="0" fontId="4" fillId="0" borderId="31" xfId="0" applyFont="1" applyBorder="1" applyAlignment="1">
      <alignment horizontal="center" vertical="center"/>
    </xf>
    <xf numFmtId="0" fontId="4" fillId="0" borderId="30"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wrapText="1"/>
    </xf>
    <xf numFmtId="0" fontId="2" fillId="10" borderId="43" xfId="0" applyFont="1" applyFill="1" applyBorder="1" applyAlignment="1">
      <alignment horizontal="center" vertical="center" wrapText="1"/>
    </xf>
    <xf numFmtId="0" fontId="2" fillId="10" borderId="45" xfId="0" applyFont="1" applyFill="1" applyBorder="1" applyAlignment="1">
      <alignment horizontal="center" vertical="center" wrapText="1"/>
    </xf>
    <xf numFmtId="0" fontId="2" fillId="10" borderId="44" xfId="0" applyFont="1" applyFill="1" applyBorder="1" applyAlignment="1">
      <alignment horizontal="center" vertical="center" wrapText="1"/>
    </xf>
    <xf numFmtId="0" fontId="2" fillId="10" borderId="37" xfId="0" applyFont="1" applyFill="1" applyBorder="1" applyAlignment="1">
      <alignment horizontal="center" vertical="center"/>
    </xf>
    <xf numFmtId="0" fontId="2" fillId="10" borderId="43" xfId="0" applyFont="1" applyFill="1" applyBorder="1" applyAlignment="1">
      <alignment horizontal="center" vertical="center"/>
    </xf>
    <xf numFmtId="0" fontId="2" fillId="10" borderId="44" xfId="0" applyFont="1" applyFill="1" applyBorder="1" applyAlignment="1">
      <alignment horizontal="center" vertical="center"/>
    </xf>
    <xf numFmtId="0" fontId="4" fillId="9" borderId="26" xfId="0" applyFont="1" applyFill="1" applyBorder="1" applyAlignment="1">
      <alignment horizontal="center" vertical="center"/>
    </xf>
    <xf numFmtId="0" fontId="4" fillId="9" borderId="27" xfId="0" applyFont="1" applyFill="1" applyBorder="1" applyAlignment="1">
      <alignment horizontal="center" vertical="center"/>
    </xf>
    <xf numFmtId="0" fontId="4" fillId="0" borderId="38" xfId="0" applyFont="1" applyBorder="1" applyAlignment="1">
      <alignment vertical="center"/>
    </xf>
    <xf numFmtId="0" fontId="4" fillId="0" borderId="10"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vertical="center"/>
    </xf>
    <xf numFmtId="0" fontId="4" fillId="0" borderId="39" xfId="0" applyFont="1" applyBorder="1" applyAlignment="1">
      <alignment vertical="center"/>
    </xf>
    <xf numFmtId="0" fontId="4" fillId="8" borderId="27" xfId="0" applyFont="1" applyFill="1" applyBorder="1" applyAlignment="1">
      <alignment vertical="center"/>
    </xf>
    <xf numFmtId="0" fontId="4" fillId="0" borderId="40" xfId="0" applyFont="1" applyBorder="1" applyAlignment="1">
      <alignment vertical="center"/>
    </xf>
    <xf numFmtId="0" fontId="4" fillId="0" borderId="12" xfId="0" applyFont="1" applyBorder="1" applyAlignment="1">
      <alignment horizontal="center" vertical="center"/>
    </xf>
    <xf numFmtId="0" fontId="6" fillId="0" borderId="11" xfId="0" applyFont="1" applyBorder="1" applyAlignment="1">
      <alignment horizontal="left" vertical="center"/>
    </xf>
    <xf numFmtId="0" fontId="4" fillId="0" borderId="28" xfId="0" applyFont="1" applyBorder="1" applyAlignment="1">
      <alignment vertical="center"/>
    </xf>
    <xf numFmtId="0" fontId="4" fillId="8" borderId="30" xfId="0" applyFont="1" applyFill="1" applyBorder="1" applyAlignment="1">
      <alignment vertical="center"/>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4" fillId="0" borderId="48" xfId="0" applyFont="1" applyBorder="1" applyAlignment="1">
      <alignment vertical="center"/>
    </xf>
    <xf numFmtId="0" fontId="6" fillId="0" borderId="13" xfId="0" applyFont="1" applyBorder="1" applyAlignment="1">
      <alignment vertical="center"/>
    </xf>
    <xf numFmtId="0" fontId="6" fillId="0" borderId="26" xfId="0" applyFont="1" applyBorder="1" applyAlignment="1">
      <alignment horizontal="center" vertical="center"/>
    </xf>
    <xf numFmtId="0" fontId="6" fillId="0" borderId="7" xfId="0" applyFont="1" applyBorder="1" applyAlignment="1">
      <alignment horizontal="left" vertical="center" wrapText="1"/>
    </xf>
    <xf numFmtId="0" fontId="6" fillId="0" borderId="0" xfId="0" applyFont="1" applyAlignment="1">
      <alignment horizontal="center" vertical="center" wrapText="1"/>
    </xf>
    <xf numFmtId="0" fontId="6" fillId="0" borderId="7" xfId="0" applyFont="1" applyBorder="1" applyAlignment="1">
      <alignment vertical="center" wrapText="1"/>
    </xf>
    <xf numFmtId="0" fontId="4" fillId="0" borderId="0" xfId="0" applyFont="1" applyAlignment="1">
      <alignment horizontal="left" vertical="center" wrapText="1"/>
    </xf>
    <xf numFmtId="0" fontId="6" fillId="0" borderId="36" xfId="0" applyFont="1" applyBorder="1" applyAlignment="1">
      <alignment vertical="center" wrapText="1"/>
    </xf>
    <xf numFmtId="0" fontId="6" fillId="0" borderId="28" xfId="0" applyFont="1" applyBorder="1" applyAlignment="1">
      <alignment horizontal="center" vertical="center"/>
    </xf>
    <xf numFmtId="0" fontId="6" fillId="0" borderId="29" xfId="0" applyFont="1" applyBorder="1" applyAlignment="1">
      <alignment vertical="center" wrapText="1"/>
    </xf>
    <xf numFmtId="0" fontId="4" fillId="0" borderId="0" xfId="0" applyFont="1" applyAlignment="1">
      <alignment vertical="center" wrapText="1"/>
    </xf>
    <xf numFmtId="0" fontId="20" fillId="8" borderId="7" xfId="0" applyFont="1" applyFill="1" applyBorder="1" applyAlignment="1">
      <alignment horizontal="justify" vertical="center"/>
    </xf>
    <xf numFmtId="0" fontId="20" fillId="7" borderId="7" xfId="0" applyFont="1" applyFill="1" applyBorder="1" applyAlignment="1">
      <alignment horizontal="left" vertical="center"/>
    </xf>
    <xf numFmtId="0" fontId="4" fillId="7" borderId="7" xfId="0" applyFont="1" applyFill="1" applyBorder="1" applyAlignment="1">
      <alignment horizontal="left" vertical="center"/>
    </xf>
    <xf numFmtId="0" fontId="6" fillId="7" borderId="7" xfId="0" applyFont="1" applyFill="1" applyBorder="1" applyAlignment="1">
      <alignment horizontal="left" vertical="center"/>
    </xf>
    <xf numFmtId="0" fontId="6" fillId="8" borderId="36" xfId="0" applyFont="1" applyFill="1" applyBorder="1" applyAlignment="1">
      <alignment vertical="center"/>
    </xf>
    <xf numFmtId="0" fontId="6" fillId="7" borderId="50" xfId="0" applyFont="1" applyFill="1" applyBorder="1" applyAlignment="1">
      <alignment vertical="center"/>
    </xf>
    <xf numFmtId="0" fontId="6" fillId="0" borderId="7" xfId="0" applyFont="1" applyBorder="1" applyAlignment="1">
      <alignment horizontal="left" vertical="center"/>
    </xf>
    <xf numFmtId="0" fontId="6" fillId="8" borderId="7" xfId="0" applyFont="1" applyFill="1" applyBorder="1" applyAlignment="1">
      <alignment horizontal="left" vertical="center"/>
    </xf>
    <xf numFmtId="0" fontId="6" fillId="0" borderId="0" xfId="0" applyFont="1" applyAlignment="1">
      <alignment vertical="center" wrapText="1"/>
    </xf>
    <xf numFmtId="0" fontId="15" fillId="0" borderId="0" xfId="0" applyFont="1" applyAlignment="1">
      <alignment vertical="center"/>
    </xf>
    <xf numFmtId="0" fontId="4" fillId="9" borderId="5" xfId="0" applyFont="1" applyFill="1" applyBorder="1" applyAlignment="1">
      <alignment horizontal="center" vertical="center"/>
    </xf>
    <xf numFmtId="0" fontId="4" fillId="9" borderId="5" xfId="0" applyFont="1" applyFill="1" applyBorder="1" applyAlignment="1">
      <alignment horizontal="center" vertical="center" wrapText="1"/>
    </xf>
    <xf numFmtId="0" fontId="6" fillId="0" borderId="16" xfId="0" applyFont="1" applyBorder="1" applyAlignment="1">
      <alignment vertical="center"/>
    </xf>
    <xf numFmtId="0" fontId="6" fillId="0" borderId="20" xfId="0" applyFont="1" applyBorder="1" applyAlignment="1">
      <alignment vertical="center"/>
    </xf>
    <xf numFmtId="0" fontId="4" fillId="11" borderId="10" xfId="0" applyFont="1" applyFill="1" applyBorder="1" applyAlignment="1">
      <alignment horizontal="center" vertical="center"/>
    </xf>
    <xf numFmtId="0" fontId="6" fillId="11" borderId="11" xfId="0" applyFont="1" applyFill="1" applyBorder="1" applyAlignment="1">
      <alignment horizontal="center" vertical="center"/>
    </xf>
    <xf numFmtId="0" fontId="6" fillId="7" borderId="26" xfId="0" applyFont="1" applyFill="1" applyBorder="1" applyAlignment="1">
      <alignment horizontal="center" vertical="center"/>
    </xf>
    <xf numFmtId="0" fontId="4" fillId="7" borderId="5" xfId="0" applyFont="1" applyFill="1" applyBorder="1" applyAlignment="1">
      <alignment horizontal="center" vertical="center"/>
    </xf>
    <xf numFmtId="0" fontId="4" fillId="0" borderId="5" xfId="0" applyFont="1" applyBorder="1" applyAlignment="1">
      <alignment vertical="center" wrapText="1"/>
    </xf>
    <xf numFmtId="0" fontId="6" fillId="0" borderId="22" xfId="0" applyFont="1" applyBorder="1" applyAlignment="1">
      <alignment vertical="center"/>
    </xf>
    <xf numFmtId="0" fontId="6" fillId="0" borderId="21" xfId="0" applyFont="1" applyBorder="1" applyAlignment="1">
      <alignment vertical="center"/>
    </xf>
    <xf numFmtId="0" fontId="4" fillId="0" borderId="11" xfId="0" applyFont="1" applyBorder="1" applyAlignment="1">
      <alignment vertical="center"/>
    </xf>
    <xf numFmtId="0" fontId="4" fillId="0" borderId="0" xfId="0" applyFont="1" applyAlignment="1">
      <alignment horizontal="center" vertical="center" wrapText="1"/>
    </xf>
    <xf numFmtId="0" fontId="4" fillId="0" borderId="13" xfId="0" applyFont="1" applyBorder="1" applyAlignment="1">
      <alignment vertical="center"/>
    </xf>
    <xf numFmtId="0" fontId="20" fillId="7" borderId="36" xfId="0" applyFont="1" applyFill="1" applyBorder="1" applyAlignment="1">
      <alignment vertical="center"/>
    </xf>
    <xf numFmtId="0" fontId="4" fillId="8" borderId="16" xfId="0" applyFont="1" applyFill="1" applyBorder="1" applyAlignment="1">
      <alignment vertical="center"/>
    </xf>
    <xf numFmtId="0" fontId="4" fillId="8" borderId="0" xfId="0" applyFont="1" applyFill="1" applyAlignment="1">
      <alignment vertical="center"/>
    </xf>
    <xf numFmtId="0" fontId="6" fillId="12" borderId="11" xfId="0" applyFont="1" applyFill="1" applyBorder="1" applyAlignment="1">
      <alignment vertical="center"/>
    </xf>
    <xf numFmtId="0" fontId="4" fillId="8" borderId="10" xfId="0" applyFont="1" applyFill="1" applyBorder="1" applyAlignment="1">
      <alignment horizontal="center" vertical="center"/>
    </xf>
    <xf numFmtId="0" fontId="4" fillId="8" borderId="11" xfId="0" applyFont="1" applyFill="1" applyBorder="1" applyAlignment="1">
      <alignment horizontal="left" vertical="center"/>
    </xf>
    <xf numFmtId="0" fontId="4" fillId="8" borderId="53" xfId="0" applyFont="1" applyFill="1" applyBorder="1" applyAlignment="1">
      <alignment horizontal="left" vertical="center"/>
    </xf>
    <xf numFmtId="0" fontId="4" fillId="8" borderId="46" xfId="0" applyFont="1" applyFill="1" applyBorder="1" applyAlignment="1">
      <alignment horizontal="center" vertical="center"/>
    </xf>
    <xf numFmtId="0" fontId="6" fillId="0" borderId="25" xfId="0" applyFont="1" applyBorder="1" applyAlignment="1">
      <alignment vertical="center"/>
    </xf>
    <xf numFmtId="0" fontId="6" fillId="0" borderId="27" xfId="0" applyFont="1" applyBorder="1" applyAlignment="1">
      <alignment vertical="center"/>
    </xf>
    <xf numFmtId="0" fontId="6" fillId="0" borderId="23" xfId="0" applyFont="1" applyBorder="1" applyAlignment="1">
      <alignment horizontal="center" vertical="center"/>
    </xf>
    <xf numFmtId="0" fontId="6" fillId="0" borderId="27" xfId="0" applyFont="1" applyBorder="1" applyAlignment="1">
      <alignment horizontal="left" vertical="center"/>
    </xf>
    <xf numFmtId="0" fontId="6" fillId="0" borderId="30" xfId="0" applyFont="1" applyBorder="1" applyAlignment="1">
      <alignment horizontal="left" vertical="center"/>
    </xf>
    <xf numFmtId="0" fontId="2" fillId="4" borderId="0" xfId="0" applyFont="1" applyFill="1" applyAlignment="1">
      <alignment horizontal="center" vertical="center"/>
    </xf>
    <xf numFmtId="0" fontId="4" fillId="6" borderId="0" xfId="0" applyFont="1" applyFill="1" applyAlignment="1">
      <alignment horizontal="center" vertical="center"/>
    </xf>
    <xf numFmtId="0" fontId="11" fillId="0" borderId="0" xfId="2" applyBorder="1" applyAlignment="1">
      <alignment horizontal="center" vertical="center"/>
    </xf>
    <xf numFmtId="0" fontId="6" fillId="7" borderId="35" xfId="0" applyFont="1" applyFill="1" applyBorder="1" applyAlignment="1">
      <alignment horizontal="center" vertical="center"/>
    </xf>
    <xf numFmtId="0" fontId="15" fillId="0" borderId="7" xfId="0" applyFont="1" applyBorder="1" applyAlignment="1">
      <alignment horizontal="left" vertical="center"/>
    </xf>
    <xf numFmtId="0" fontId="20" fillId="8" borderId="7" xfId="0" applyFont="1" applyFill="1" applyBorder="1" applyAlignment="1">
      <alignment horizontal="left" vertical="center" wrapText="1"/>
    </xf>
    <xf numFmtId="0" fontId="6" fillId="8" borderId="7" xfId="0" applyFont="1" applyFill="1" applyBorder="1" applyAlignment="1">
      <alignment horizontal="left" vertical="center" wrapText="1"/>
    </xf>
    <xf numFmtId="0" fontId="6" fillId="7" borderId="7" xfId="0" applyFont="1" applyFill="1" applyBorder="1" applyAlignment="1">
      <alignment horizontal="left" vertical="center" wrapText="1"/>
    </xf>
    <xf numFmtId="0" fontId="20" fillId="7" borderId="7" xfId="0" applyFont="1" applyFill="1" applyBorder="1" applyAlignment="1">
      <alignment horizontal="left" vertical="center" wrapText="1"/>
    </xf>
    <xf numFmtId="0" fontId="4" fillId="7" borderId="7" xfId="0" applyFont="1" applyFill="1" applyBorder="1" applyAlignment="1">
      <alignment horizontal="left" vertical="center" wrapText="1"/>
    </xf>
    <xf numFmtId="0" fontId="7" fillId="0" borderId="3" xfId="0" applyFont="1" applyBorder="1" applyAlignment="1">
      <alignment horizontal="center" vertical="center"/>
    </xf>
    <xf numFmtId="0" fontId="23" fillId="0" borderId="0" xfId="0" applyFont="1" applyAlignment="1">
      <alignment horizontal="justify" vertical="center"/>
    </xf>
    <xf numFmtId="0" fontId="13" fillId="0" borderId="0" xfId="0" applyFont="1" applyAlignment="1">
      <alignment wrapText="1"/>
    </xf>
    <xf numFmtId="0" fontId="24" fillId="0" borderId="0" xfId="0" applyFont="1" applyAlignment="1">
      <alignment wrapText="1"/>
    </xf>
    <xf numFmtId="0" fontId="23" fillId="0" borderId="0" xfId="0" applyFont="1" applyAlignment="1">
      <alignment horizontal="justify" vertical="center" wrapText="1"/>
    </xf>
    <xf numFmtId="3" fontId="7" fillId="2" borderId="7" xfId="0" applyNumberFormat="1" applyFont="1" applyFill="1" applyBorder="1" applyAlignment="1">
      <alignment horizontal="left" vertical="center" wrapText="1"/>
    </xf>
    <xf numFmtId="0" fontId="7" fillId="2" borderId="7" xfId="0" applyFont="1" applyFill="1" applyBorder="1" applyAlignment="1">
      <alignment horizontal="left" vertical="center" wrapText="1"/>
    </xf>
    <xf numFmtId="0" fontId="6" fillId="13" borderId="11" xfId="0" applyFont="1" applyFill="1" applyBorder="1" applyAlignment="1">
      <alignment vertical="center"/>
    </xf>
    <xf numFmtId="0" fontId="4" fillId="8" borderId="11" xfId="0" applyFont="1" applyFill="1" applyBorder="1" applyAlignment="1">
      <alignment horizontal="left" vertical="center" wrapText="1"/>
    </xf>
    <xf numFmtId="0" fontId="6" fillId="0" borderId="27" xfId="0" applyFont="1" applyBorder="1" applyAlignment="1">
      <alignment horizontal="left" vertical="center" wrapText="1"/>
    </xf>
    <xf numFmtId="0" fontId="6" fillId="0" borderId="11" xfId="0" applyFont="1" applyBorder="1" applyAlignment="1">
      <alignment vertical="center" wrapText="1"/>
    </xf>
    <xf numFmtId="0" fontId="7" fillId="14" borderId="7" xfId="0" applyFont="1" applyFill="1" applyBorder="1" applyAlignment="1">
      <alignment vertical="center" wrapText="1"/>
    </xf>
    <xf numFmtId="0" fontId="7" fillId="14" borderId="7" xfId="0" applyFont="1" applyFill="1" applyBorder="1" applyAlignment="1">
      <alignment horizontal="center" vertical="center" wrapText="1"/>
    </xf>
    <xf numFmtId="0" fontId="7" fillId="14" borderId="7" xfId="0" applyFont="1" applyFill="1" applyBorder="1" applyAlignment="1">
      <alignment wrapText="1"/>
    </xf>
    <xf numFmtId="2" fontId="7" fillId="14" borderId="7" xfId="0" applyNumberFormat="1" applyFont="1" applyFill="1" applyBorder="1" applyAlignment="1">
      <alignment horizontal="center" vertical="center" wrapText="1"/>
    </xf>
    <xf numFmtId="0" fontId="0" fillId="15" borderId="0" xfId="0" applyFill="1"/>
    <xf numFmtId="0" fontId="7" fillId="14" borderId="7" xfId="0" applyFont="1" applyFill="1" applyBorder="1" applyAlignment="1">
      <alignment horizontal="left" vertical="center" wrapText="1"/>
    </xf>
    <xf numFmtId="0" fontId="7" fillId="14" borderId="7" xfId="0" applyFont="1" applyFill="1" applyBorder="1" applyAlignment="1">
      <alignment horizontal="center" vertical="center"/>
    </xf>
    <xf numFmtId="0" fontId="7" fillId="16" borderId="7" xfId="0" applyFont="1" applyFill="1" applyBorder="1" applyAlignment="1">
      <alignment horizontal="center" vertical="center"/>
    </xf>
    <xf numFmtId="0" fontId="7" fillId="14" borderId="7" xfId="0" applyFont="1" applyFill="1" applyBorder="1" applyAlignment="1">
      <alignment vertical="center"/>
    </xf>
    <xf numFmtId="0" fontId="7" fillId="14" borderId="7" xfId="0" applyFont="1" applyFill="1" applyBorder="1"/>
    <xf numFmtId="0" fontId="0" fillId="14" borderId="0" xfId="0" applyFill="1"/>
    <xf numFmtId="0" fontId="22" fillId="14" borderId="7" xfId="0" applyFont="1" applyFill="1" applyBorder="1" applyAlignment="1">
      <alignment horizontal="center" vertical="center"/>
    </xf>
    <xf numFmtId="0" fontId="22" fillId="16" borderId="7" xfId="0" applyFont="1" applyFill="1" applyBorder="1" applyAlignment="1">
      <alignment horizontal="center" vertical="center"/>
    </xf>
    <xf numFmtId="0" fontId="0" fillId="14" borderId="7" xfId="0" applyFill="1" applyBorder="1" applyAlignment="1">
      <alignment vertical="center"/>
    </xf>
    <xf numFmtId="0" fontId="0" fillId="14" borderId="7" xfId="0" applyFill="1" applyBorder="1" applyAlignment="1">
      <alignment vertical="center" wrapText="1"/>
    </xf>
    <xf numFmtId="0" fontId="4" fillId="14" borderId="0" xfId="0" applyFont="1" applyFill="1" applyAlignment="1">
      <alignment vertical="center"/>
    </xf>
    <xf numFmtId="0" fontId="4" fillId="14" borderId="0" xfId="0" applyFont="1" applyFill="1"/>
    <xf numFmtId="44" fontId="4" fillId="0" borderId="0" xfId="0" applyNumberFormat="1" applyFont="1"/>
    <xf numFmtId="0" fontId="22" fillId="0" borderId="7" xfId="0" applyFont="1" applyBorder="1" applyAlignment="1">
      <alignment horizontal="center" vertical="center"/>
    </xf>
    <xf numFmtId="44" fontId="4" fillId="0" borderId="0" xfId="3" applyFont="1" applyFill="1"/>
    <xf numFmtId="0" fontId="7" fillId="0" borderId="7" xfId="0" applyFont="1" applyBorder="1" applyAlignment="1">
      <alignment horizontal="center" vertical="center"/>
    </xf>
    <xf numFmtId="0" fontId="7" fillId="0" borderId="36" xfId="0" applyFont="1" applyBorder="1" applyAlignment="1">
      <alignment horizontal="center" vertical="center"/>
    </xf>
    <xf numFmtId="0" fontId="7" fillId="0" borderId="7" xfId="0" applyFont="1" applyBorder="1" applyAlignment="1">
      <alignment horizontal="center" vertical="center" wrapText="1"/>
    </xf>
    <xf numFmtId="0" fontId="7" fillId="14" borderId="33" xfId="0" applyFont="1" applyFill="1" applyBorder="1" applyAlignment="1">
      <alignment horizontal="center" vertical="center"/>
    </xf>
    <xf numFmtId="0" fontId="7" fillId="14" borderId="36" xfId="0" applyFont="1" applyFill="1" applyBorder="1" applyAlignment="1">
      <alignment horizontal="center" vertical="center" wrapText="1"/>
    </xf>
    <xf numFmtId="0" fontId="7" fillId="14" borderId="33" xfId="0" applyFont="1" applyFill="1" applyBorder="1" applyAlignment="1">
      <alignment horizontal="center" vertical="center" wrapText="1"/>
    </xf>
    <xf numFmtId="0" fontId="7" fillId="14" borderId="36" xfId="0" applyFont="1" applyFill="1" applyBorder="1" applyAlignment="1">
      <alignment horizontal="center" vertical="center"/>
    </xf>
    <xf numFmtId="0" fontId="7" fillId="16" borderId="36" xfId="0" applyFont="1" applyFill="1" applyBorder="1" applyAlignment="1">
      <alignment horizontal="center" vertical="center"/>
    </xf>
    <xf numFmtId="0" fontId="7" fillId="16" borderId="33" xfId="0" applyFont="1" applyFill="1" applyBorder="1" applyAlignment="1">
      <alignment horizontal="center" vertical="center"/>
    </xf>
    <xf numFmtId="167" fontId="7" fillId="14" borderId="7" xfId="3" applyNumberFormat="1" applyFont="1" applyFill="1" applyBorder="1" applyAlignment="1">
      <alignment vertical="center"/>
    </xf>
    <xf numFmtId="165" fontId="7" fillId="14" borderId="36" xfId="0" applyNumberFormat="1" applyFont="1" applyFill="1" applyBorder="1" applyAlignment="1">
      <alignment horizontal="center" vertical="center"/>
    </xf>
    <xf numFmtId="165" fontId="7" fillId="14" borderId="49" xfId="0" applyNumberFormat="1" applyFont="1" applyFill="1" applyBorder="1" applyAlignment="1">
      <alignment horizontal="center" vertical="center"/>
    </xf>
    <xf numFmtId="165" fontId="7" fillId="16" borderId="36" xfId="0" applyNumberFormat="1" applyFont="1" applyFill="1" applyBorder="1" applyAlignment="1">
      <alignment horizontal="center" vertical="center"/>
    </xf>
    <xf numFmtId="165" fontId="7" fillId="16" borderId="33" xfId="0" applyNumberFormat="1" applyFont="1" applyFill="1" applyBorder="1" applyAlignment="1">
      <alignment horizontal="center" vertical="center"/>
    </xf>
    <xf numFmtId="165" fontId="7" fillId="14" borderId="7" xfId="0" applyNumberFormat="1" applyFont="1" applyFill="1" applyBorder="1" applyAlignment="1">
      <alignment horizontal="center" vertical="center"/>
    </xf>
    <xf numFmtId="165" fontId="7" fillId="16" borderId="7" xfId="0" applyNumberFormat="1" applyFont="1" applyFill="1" applyBorder="1" applyAlignment="1">
      <alignment horizontal="center" vertical="center"/>
    </xf>
    <xf numFmtId="0" fontId="7" fillId="14" borderId="36" xfId="0" applyFont="1" applyFill="1" applyBorder="1" applyAlignment="1">
      <alignment horizontal="center" vertical="center" wrapText="1"/>
    </xf>
    <xf numFmtId="0" fontId="7" fillId="14" borderId="49" xfId="0" applyFont="1" applyFill="1" applyBorder="1" applyAlignment="1">
      <alignment horizontal="center" vertical="center" wrapText="1"/>
    </xf>
    <xf numFmtId="0" fontId="7" fillId="14" borderId="33" xfId="0" applyFont="1" applyFill="1" applyBorder="1" applyAlignment="1">
      <alignment horizontal="center" vertical="center" wrapText="1"/>
    </xf>
    <xf numFmtId="0" fontId="7" fillId="0" borderId="36" xfId="0" applyFont="1" applyBorder="1" applyAlignment="1">
      <alignment horizontal="center" vertical="center"/>
    </xf>
    <xf numFmtId="0" fontId="7" fillId="0" borderId="49" xfId="0" applyFont="1" applyBorder="1" applyAlignment="1">
      <alignment horizontal="center" vertical="center"/>
    </xf>
    <xf numFmtId="0" fontId="7" fillId="0" borderId="33" xfId="0" applyFont="1" applyBorder="1" applyAlignment="1">
      <alignment horizontal="center" vertical="center"/>
    </xf>
    <xf numFmtId="0" fontId="7" fillId="14" borderId="36" xfId="0" applyFont="1" applyFill="1" applyBorder="1" applyAlignment="1">
      <alignment horizontal="left" vertical="center"/>
    </xf>
    <xf numFmtId="0" fontId="7" fillId="14" borderId="49" xfId="0" applyFont="1" applyFill="1" applyBorder="1" applyAlignment="1">
      <alignment horizontal="left" vertical="center"/>
    </xf>
    <xf numFmtId="0" fontId="7" fillId="14" borderId="33" xfId="0" applyFont="1" applyFill="1" applyBorder="1" applyAlignment="1">
      <alignment horizontal="left" vertical="center"/>
    </xf>
    <xf numFmtId="0" fontId="7" fillId="14" borderId="36" xfId="0" applyFont="1" applyFill="1" applyBorder="1" applyAlignment="1">
      <alignment horizontal="center"/>
    </xf>
    <xf numFmtId="0" fontId="7" fillId="14" borderId="49" xfId="0" applyFont="1" applyFill="1" applyBorder="1" applyAlignment="1">
      <alignment horizontal="center"/>
    </xf>
    <xf numFmtId="0" fontId="7" fillId="14" borderId="33" xfId="0" applyFont="1" applyFill="1" applyBorder="1" applyAlignment="1">
      <alignment horizontal="center"/>
    </xf>
    <xf numFmtId="167" fontId="7" fillId="14" borderId="7" xfId="3" applyNumberFormat="1" applyFont="1" applyFill="1" applyBorder="1" applyAlignment="1">
      <alignment vertical="center"/>
    </xf>
    <xf numFmtId="0" fontId="7" fillId="14" borderId="36" xfId="0" applyFont="1" applyFill="1" applyBorder="1" applyAlignment="1">
      <alignment horizontal="center" vertical="center"/>
    </xf>
    <xf numFmtId="0" fontId="7" fillId="14" borderId="49" xfId="0" applyFont="1" applyFill="1" applyBorder="1" applyAlignment="1">
      <alignment horizontal="center" vertical="center"/>
    </xf>
    <xf numFmtId="0" fontId="7" fillId="14" borderId="33" xfId="0" applyFont="1" applyFill="1" applyBorder="1" applyAlignment="1">
      <alignment horizontal="center" vertical="center"/>
    </xf>
    <xf numFmtId="0" fontId="7" fillId="16" borderId="36" xfId="0" applyFont="1" applyFill="1" applyBorder="1" applyAlignment="1">
      <alignment horizontal="center" vertical="center"/>
    </xf>
    <xf numFmtId="0" fontId="7" fillId="16" borderId="49" xfId="0" applyFont="1" applyFill="1" applyBorder="1" applyAlignment="1">
      <alignment horizontal="center" vertical="center"/>
    </xf>
    <xf numFmtId="0" fontId="7" fillId="16" borderId="33" xfId="0" applyFont="1" applyFill="1" applyBorder="1" applyAlignment="1">
      <alignment horizontal="center" vertical="center"/>
    </xf>
    <xf numFmtId="166" fontId="7" fillId="14" borderId="7" xfId="0" applyNumberFormat="1" applyFont="1" applyFill="1" applyBorder="1" applyAlignment="1">
      <alignment horizontal="center" vertical="center"/>
    </xf>
    <xf numFmtId="168" fontId="7" fillId="14" borderId="7" xfId="0" applyNumberFormat="1" applyFont="1" applyFill="1" applyBorder="1" applyAlignment="1">
      <alignment horizontal="center" vertical="center"/>
    </xf>
    <xf numFmtId="0" fontId="7" fillId="14" borderId="7" xfId="0" applyFont="1" applyFill="1" applyBorder="1" applyAlignment="1">
      <alignment horizontal="center" vertical="center"/>
    </xf>
    <xf numFmtId="0" fontId="7" fillId="14" borderId="7" xfId="0" applyFont="1" applyFill="1" applyBorder="1" applyAlignment="1">
      <alignment horizontal="center" vertical="center" wrapText="1"/>
    </xf>
    <xf numFmtId="3" fontId="7" fillId="2" borderId="7" xfId="0" applyNumberFormat="1" applyFont="1" applyFill="1" applyBorder="1" applyAlignment="1">
      <alignment horizontal="center" vertical="center" wrapText="1"/>
    </xf>
    <xf numFmtId="0" fontId="22" fillId="14" borderId="7" xfId="0" applyFont="1" applyFill="1" applyBorder="1" applyAlignment="1">
      <alignment horizontal="center" vertical="center" wrapText="1"/>
    </xf>
    <xf numFmtId="0" fontId="3" fillId="14" borderId="7" xfId="0" applyFont="1" applyFill="1" applyBorder="1"/>
    <xf numFmtId="9" fontId="22" fillId="14" borderId="7" xfId="0" applyNumberFormat="1" applyFont="1" applyFill="1" applyBorder="1" applyAlignment="1">
      <alignment horizontal="center" vertical="center"/>
    </xf>
    <xf numFmtId="0" fontId="22" fillId="14" borderId="7" xfId="0" applyFont="1" applyFill="1" applyBorder="1" applyAlignment="1">
      <alignment horizontal="center" vertical="center"/>
    </xf>
    <xf numFmtId="0" fontId="22" fillId="2" borderId="7" xfId="0" applyFont="1" applyFill="1" applyBorder="1" applyAlignment="1">
      <alignment horizontal="center" vertical="center" wrapText="1"/>
    </xf>
    <xf numFmtId="164" fontId="22" fillId="14" borderId="7" xfId="0" applyNumberFormat="1" applyFont="1" applyFill="1" applyBorder="1" applyAlignment="1">
      <alignment horizontal="center" vertical="center"/>
    </xf>
    <xf numFmtId="164" fontId="22" fillId="14" borderId="7" xfId="0" applyNumberFormat="1" applyFont="1" applyFill="1" applyBorder="1" applyAlignment="1">
      <alignment horizontal="center" vertical="center" wrapText="1"/>
    </xf>
    <xf numFmtId="0" fontId="3" fillId="14" borderId="7" xfId="0" applyFont="1" applyFill="1" applyBorder="1" applyAlignment="1">
      <alignment wrapText="1"/>
    </xf>
    <xf numFmtId="166" fontId="7" fillId="14" borderId="33" xfId="0" applyNumberFormat="1" applyFont="1" applyFill="1" applyBorder="1" applyAlignment="1">
      <alignment horizontal="center" vertical="center"/>
    </xf>
    <xf numFmtId="0" fontId="12" fillId="4" borderId="8" xfId="0" applyFont="1" applyFill="1" applyBorder="1" applyAlignment="1">
      <alignment horizontal="center"/>
    </xf>
    <xf numFmtId="0" fontId="15" fillId="5" borderId="9" xfId="0" applyFont="1" applyFill="1" applyBorder="1"/>
    <xf numFmtId="0" fontId="12" fillId="4" borderId="23" xfId="0" applyFont="1" applyFill="1" applyBorder="1" applyAlignment="1">
      <alignment horizontal="center"/>
    </xf>
    <xf numFmtId="0" fontId="12" fillId="4" borderId="24" xfId="0" applyFont="1" applyFill="1" applyBorder="1" applyAlignment="1">
      <alignment horizontal="center"/>
    </xf>
    <xf numFmtId="0" fontId="12" fillId="4" borderId="25" xfId="0" applyFont="1" applyFill="1" applyBorder="1" applyAlignment="1">
      <alignment horizontal="center"/>
    </xf>
    <xf numFmtId="0" fontId="12" fillId="4" borderId="17" xfId="0" applyFont="1" applyFill="1" applyBorder="1" applyAlignment="1">
      <alignment horizontal="center"/>
    </xf>
    <xf numFmtId="0" fontId="12" fillId="4" borderId="18" xfId="0" applyFont="1" applyFill="1" applyBorder="1" applyAlignment="1">
      <alignment horizontal="center"/>
    </xf>
    <xf numFmtId="0" fontId="12" fillId="4" borderId="19" xfId="0" applyFont="1" applyFill="1" applyBorder="1" applyAlignment="1">
      <alignment horizontal="center"/>
    </xf>
    <xf numFmtId="0" fontId="2" fillId="10" borderId="1" xfId="0" applyFont="1" applyFill="1" applyBorder="1" applyAlignment="1">
      <alignment horizontal="center" vertical="center"/>
    </xf>
    <xf numFmtId="0" fontId="19" fillId="5" borderId="2" xfId="0" applyFont="1" applyFill="1" applyBorder="1" applyAlignment="1">
      <alignment vertical="center"/>
    </xf>
    <xf numFmtId="0" fontId="2" fillId="4" borderId="41"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42" xfId="0" applyFont="1" applyFill="1" applyBorder="1" applyAlignment="1">
      <alignment horizontal="center" vertical="center"/>
    </xf>
    <xf numFmtId="0" fontId="2" fillId="10" borderId="8" xfId="0" applyFont="1" applyFill="1" applyBorder="1" applyAlignment="1">
      <alignment horizontal="center" vertical="center"/>
    </xf>
    <xf numFmtId="0" fontId="19" fillId="5" borderId="9" xfId="0" applyFont="1" applyFill="1" applyBorder="1" applyAlignment="1">
      <alignment vertical="center"/>
    </xf>
    <xf numFmtId="0" fontId="2" fillId="10" borderId="17" xfId="0" applyFont="1" applyFill="1" applyBorder="1" applyAlignment="1">
      <alignment horizontal="center" vertical="center"/>
    </xf>
    <xf numFmtId="0" fontId="2" fillId="10" borderId="19" xfId="0" applyFont="1" applyFill="1" applyBorder="1" applyAlignment="1">
      <alignment horizontal="center" vertical="center"/>
    </xf>
    <xf numFmtId="0" fontId="20" fillId="7" borderId="36" xfId="0" applyFont="1" applyFill="1" applyBorder="1" applyAlignment="1">
      <alignment horizontal="left" vertical="center" wrapText="1"/>
    </xf>
    <xf numFmtId="0" fontId="20" fillId="7" borderId="49" xfId="0" applyFont="1" applyFill="1" applyBorder="1" applyAlignment="1">
      <alignment horizontal="left" vertical="center" wrapText="1"/>
    </xf>
    <xf numFmtId="0" fontId="20" fillId="7" borderId="33" xfId="0" applyFont="1" applyFill="1" applyBorder="1" applyAlignment="1">
      <alignment horizontal="left" vertical="center" wrapText="1"/>
    </xf>
    <xf numFmtId="0" fontId="6" fillId="8" borderId="36" xfId="0" applyFont="1" applyFill="1" applyBorder="1" applyAlignment="1">
      <alignment horizontal="left" vertical="center" wrapText="1"/>
    </xf>
    <xf numFmtId="0" fontId="6" fillId="8" borderId="49" xfId="0" applyFont="1" applyFill="1" applyBorder="1" applyAlignment="1">
      <alignment horizontal="left" vertical="center" wrapText="1"/>
    </xf>
    <xf numFmtId="0" fontId="6" fillId="8" borderId="33" xfId="0" applyFont="1" applyFill="1" applyBorder="1" applyAlignment="1">
      <alignment horizontal="left" vertical="center" wrapText="1"/>
    </xf>
    <xf numFmtId="0" fontId="6" fillId="7" borderId="50" xfId="0" applyFont="1" applyFill="1" applyBorder="1" applyAlignment="1">
      <alignment horizontal="left" vertical="center" wrapText="1"/>
    </xf>
    <xf numFmtId="0" fontId="6" fillId="7" borderId="0" xfId="0" applyFont="1" applyFill="1" applyAlignment="1">
      <alignment horizontal="left" vertical="center" wrapText="1"/>
    </xf>
    <xf numFmtId="0" fontId="6" fillId="7" borderId="51" xfId="0" applyFont="1" applyFill="1" applyBorder="1" applyAlignment="1">
      <alignment horizontal="left" vertical="center" wrapText="1"/>
    </xf>
    <xf numFmtId="0" fontId="6" fillId="7" borderId="52" xfId="0" applyFont="1" applyFill="1" applyBorder="1" applyAlignment="1">
      <alignment horizontal="left" vertical="center" wrapText="1"/>
    </xf>
    <xf numFmtId="0" fontId="6" fillId="0" borderId="46" xfId="0" applyFont="1" applyBorder="1" applyAlignment="1">
      <alignment horizontal="center" vertical="center" wrapText="1"/>
    </xf>
    <xf numFmtId="0" fontId="15" fillId="0" borderId="47" xfId="0" applyFont="1" applyBorder="1" applyAlignment="1">
      <alignment vertical="center"/>
    </xf>
    <xf numFmtId="0" fontId="15" fillId="0" borderId="14" xfId="0" applyFont="1" applyBorder="1" applyAlignment="1">
      <alignment vertical="center"/>
    </xf>
    <xf numFmtId="0" fontId="4" fillId="0" borderId="3" xfId="0" applyFont="1" applyBorder="1" applyAlignment="1">
      <alignment vertical="center"/>
    </xf>
    <xf numFmtId="0" fontId="15" fillId="0" borderId="4" xfId="0" applyFont="1" applyBorder="1" applyAlignment="1">
      <alignment vertical="center"/>
    </xf>
    <xf numFmtId="0" fontId="15" fillId="0" borderId="6" xfId="0" applyFont="1" applyBorder="1" applyAlignment="1">
      <alignment vertical="center"/>
    </xf>
    <xf numFmtId="0" fontId="4" fillId="0" borderId="3" xfId="0" applyFont="1" applyBorder="1" applyAlignment="1">
      <alignment vertical="center" wrapText="1"/>
    </xf>
    <xf numFmtId="0" fontId="15" fillId="0" borderId="4" xfId="0" applyFont="1" applyBorder="1" applyAlignment="1">
      <alignment vertical="center" wrapText="1"/>
    </xf>
    <xf numFmtId="0" fontId="15" fillId="0" borderId="6" xfId="0" applyFont="1" applyBorder="1" applyAlignment="1">
      <alignment vertical="center" wrapText="1"/>
    </xf>
    <xf numFmtId="0" fontId="21" fillId="5" borderId="41" xfId="0" applyFont="1" applyFill="1" applyBorder="1" applyAlignment="1">
      <alignment horizontal="center"/>
    </xf>
    <xf numFmtId="0" fontId="21" fillId="5" borderId="42" xfId="0" applyFont="1" applyFill="1" applyBorder="1" applyAlignment="1">
      <alignment horizontal="center"/>
    </xf>
    <xf numFmtId="0" fontId="6" fillId="13" borderId="46" xfId="0" applyFont="1" applyFill="1" applyBorder="1" applyAlignment="1">
      <alignment horizontal="center" vertical="center" wrapText="1"/>
    </xf>
    <xf numFmtId="0" fontId="15" fillId="13" borderId="47" xfId="0" applyFont="1" applyFill="1" applyBorder="1" applyAlignment="1">
      <alignment vertical="center"/>
    </xf>
    <xf numFmtId="0" fontId="15" fillId="13" borderId="14" xfId="0" applyFont="1" applyFill="1" applyBorder="1" applyAlignment="1">
      <alignment vertical="center"/>
    </xf>
    <xf numFmtId="0" fontId="4" fillId="13" borderId="3" xfId="0" applyFont="1" applyFill="1" applyBorder="1" applyAlignment="1">
      <alignment vertical="center" wrapText="1"/>
    </xf>
    <xf numFmtId="0" fontId="15" fillId="13" borderId="4" xfId="0" applyFont="1" applyFill="1" applyBorder="1" applyAlignment="1">
      <alignment vertical="center" wrapText="1"/>
    </xf>
    <xf numFmtId="0" fontId="15" fillId="13" borderId="6" xfId="0" applyFont="1" applyFill="1" applyBorder="1" applyAlignment="1">
      <alignment vertical="center" wrapText="1"/>
    </xf>
    <xf numFmtId="166" fontId="7" fillId="14" borderId="33" xfId="0" applyNumberFormat="1" applyFont="1" applyFill="1" applyBorder="1" applyAlignment="1">
      <alignment vertical="center"/>
    </xf>
    <xf numFmtId="166" fontId="7" fillId="14" borderId="7" xfId="0" applyNumberFormat="1" applyFont="1" applyFill="1" applyBorder="1" applyAlignment="1">
      <alignment vertical="center"/>
    </xf>
    <xf numFmtId="165" fontId="7" fillId="14" borderId="7" xfId="0" applyNumberFormat="1" applyFont="1" applyFill="1" applyBorder="1" applyAlignment="1">
      <alignment vertical="center"/>
    </xf>
    <xf numFmtId="165" fontId="7" fillId="0" borderId="36" xfId="0" applyNumberFormat="1" applyFont="1" applyBorder="1" applyAlignment="1">
      <alignment vertical="center"/>
    </xf>
    <xf numFmtId="165" fontId="7" fillId="0" borderId="7" xfId="0" applyNumberFormat="1" applyFont="1" applyBorder="1" applyAlignment="1">
      <alignment vertical="center"/>
    </xf>
    <xf numFmtId="165" fontId="7" fillId="14" borderId="36" xfId="0" applyNumberFormat="1" applyFont="1" applyFill="1" applyBorder="1" applyAlignment="1">
      <alignment vertical="center"/>
    </xf>
    <xf numFmtId="168" fontId="7" fillId="14" borderId="7" xfId="0" applyNumberFormat="1" applyFont="1" applyFill="1" applyBorder="1" applyAlignment="1">
      <alignment vertical="center"/>
    </xf>
    <xf numFmtId="166" fontId="7" fillId="0" borderId="33" xfId="0" applyNumberFormat="1" applyFont="1" applyBorder="1" applyAlignment="1">
      <alignment vertical="center"/>
    </xf>
    <xf numFmtId="49" fontId="27" fillId="17" borderId="36" xfId="5" quotePrefix="1" applyNumberFormat="1" applyFont="1" applyFill="1" applyBorder="1" applyAlignment="1">
      <alignment horizontal="center" vertical="center" wrapText="1"/>
    </xf>
    <xf numFmtId="49" fontId="28" fillId="17" borderId="7" xfId="5" quotePrefix="1" applyNumberFormat="1" applyFont="1" applyFill="1" applyBorder="1" applyAlignment="1">
      <alignment horizontal="center" vertical="center" wrapText="1"/>
    </xf>
    <xf numFmtId="49" fontId="28" fillId="18" borderId="7" xfId="5" quotePrefix="1" applyNumberFormat="1" applyFont="1" applyFill="1" applyBorder="1" applyAlignment="1">
      <alignment horizontal="center" vertical="center" wrapText="1"/>
    </xf>
    <xf numFmtId="49" fontId="28" fillId="18" borderId="55" xfId="5" quotePrefix="1" applyNumberFormat="1" applyFont="1" applyFill="1" applyBorder="1" applyAlignment="1">
      <alignment horizontal="center" vertical="center" wrapText="1"/>
    </xf>
    <xf numFmtId="49" fontId="28" fillId="18" borderId="56" xfId="5" quotePrefix="1" applyNumberFormat="1" applyFont="1" applyFill="1" applyBorder="1" applyAlignment="1">
      <alignment horizontal="center" vertical="center" wrapText="1"/>
    </xf>
    <xf numFmtId="49" fontId="28" fillId="18" borderId="57" xfId="5" quotePrefix="1" applyNumberFormat="1" applyFont="1" applyFill="1" applyBorder="1" applyAlignment="1">
      <alignment horizontal="center" vertical="center" wrapText="1"/>
    </xf>
    <xf numFmtId="0" fontId="27" fillId="18" borderId="36" xfId="5" applyFont="1" applyFill="1" applyBorder="1" applyAlignment="1">
      <alignment horizontal="center" vertical="center"/>
    </xf>
    <xf numFmtId="0" fontId="29" fillId="0" borderId="0" xfId="5" applyFont="1" applyAlignment="1">
      <alignment vertical="center"/>
    </xf>
    <xf numFmtId="49" fontId="27" fillId="17" borderId="33" xfId="5" quotePrefix="1" applyNumberFormat="1" applyFont="1" applyFill="1" applyBorder="1" applyAlignment="1">
      <alignment horizontal="center" vertical="center" wrapText="1"/>
    </xf>
    <xf numFmtId="0" fontId="28" fillId="17" borderId="7" xfId="5" applyFont="1" applyFill="1" applyBorder="1" applyAlignment="1">
      <alignment horizontal="center" vertical="center" wrapText="1"/>
    </xf>
    <xf numFmtId="49" fontId="28" fillId="17" borderId="7" xfId="5" applyNumberFormat="1" applyFont="1" applyFill="1" applyBorder="1" applyAlignment="1">
      <alignment horizontal="center" vertical="center" wrapText="1"/>
    </xf>
    <xf numFmtId="0" fontId="27" fillId="18" borderId="33" xfId="5" applyFont="1" applyFill="1" applyBorder="1" applyAlignment="1">
      <alignment horizontal="center" vertical="center"/>
    </xf>
    <xf numFmtId="0" fontId="27" fillId="19" borderId="7" xfId="5" applyFont="1" applyFill="1" applyBorder="1" applyAlignment="1">
      <alignment vertical="center" wrapText="1"/>
    </xf>
    <xf numFmtId="44" fontId="28" fillId="19" borderId="7" xfId="5" applyNumberFormat="1" applyFont="1" applyFill="1" applyBorder="1" applyAlignment="1">
      <alignment horizontal="right" vertical="center" wrapText="1"/>
    </xf>
    <xf numFmtId="44" fontId="30" fillId="0" borderId="7" xfId="5" applyNumberFormat="1" applyFont="1" applyBorder="1" applyAlignment="1">
      <alignment horizontal="left" vertical="center"/>
    </xf>
    <xf numFmtId="0" fontId="31" fillId="0" borderId="0" xfId="5" applyFont="1" applyAlignment="1">
      <alignment vertical="center"/>
    </xf>
    <xf numFmtId="0" fontId="32" fillId="20" borderId="7" xfId="5" applyFont="1" applyFill="1" applyBorder="1" applyAlignment="1">
      <alignment vertical="center" wrapText="1"/>
    </xf>
    <xf numFmtId="44" fontId="28" fillId="20" borderId="7" xfId="5" applyNumberFormat="1" applyFont="1" applyFill="1" applyBorder="1" applyAlignment="1">
      <alignment horizontal="right" vertical="center" wrapText="1"/>
    </xf>
    <xf numFmtId="44" fontId="28" fillId="21" borderId="7" xfId="5" applyNumberFormat="1" applyFont="1" applyFill="1" applyBorder="1" applyAlignment="1">
      <alignment horizontal="right" vertical="center" wrapText="1"/>
    </xf>
    <xf numFmtId="44" fontId="29" fillId="0" borderId="7" xfId="5" applyNumberFormat="1" applyFont="1" applyBorder="1" applyAlignment="1">
      <alignment horizontal="left" vertical="center"/>
    </xf>
    <xf numFmtId="0" fontId="33" fillId="0" borderId="0" xfId="5" applyFont="1" applyAlignment="1">
      <alignment vertical="center"/>
    </xf>
    <xf numFmtId="0" fontId="32" fillId="22" borderId="7" xfId="5" applyFont="1" applyFill="1" applyBorder="1" applyAlignment="1">
      <alignment horizontal="left" vertical="center" wrapText="1"/>
    </xf>
    <xf numFmtId="44" fontId="28" fillId="22" borderId="7" xfId="5" applyNumberFormat="1" applyFont="1" applyFill="1" applyBorder="1" applyAlignment="1">
      <alignment horizontal="right" vertical="center" wrapText="1"/>
    </xf>
    <xf numFmtId="44" fontId="29" fillId="23" borderId="7" xfId="5" applyNumberFormat="1" applyFont="1" applyFill="1" applyBorder="1" applyAlignment="1">
      <alignment horizontal="left" vertical="center"/>
    </xf>
    <xf numFmtId="44" fontId="33" fillId="23" borderId="0" xfId="5" applyNumberFormat="1" applyFont="1" applyFill="1" applyAlignment="1">
      <alignment vertical="center"/>
    </xf>
    <xf numFmtId="0" fontId="29" fillId="24" borderId="7" xfId="5" applyFont="1" applyFill="1" applyBorder="1" applyAlignment="1">
      <alignment horizontal="left" vertical="center" wrapText="1"/>
    </xf>
    <xf numFmtId="44" fontId="34" fillId="25" borderId="36" xfId="5" applyNumberFormat="1" applyFont="1" applyFill="1" applyBorder="1" applyAlignment="1">
      <alignment horizontal="center" vertical="center"/>
    </xf>
    <xf numFmtId="44" fontId="34" fillId="24" borderId="7" xfId="5" applyNumberFormat="1" applyFont="1" applyFill="1" applyBorder="1" applyAlignment="1">
      <alignment horizontal="right" vertical="center"/>
    </xf>
    <xf numFmtId="44" fontId="28" fillId="26" borderId="7" xfId="5" applyNumberFormat="1" applyFont="1" applyFill="1" applyBorder="1" applyAlignment="1">
      <alignment horizontal="right" vertical="center" wrapText="1"/>
    </xf>
    <xf numFmtId="0" fontId="29" fillId="25" borderId="7" xfId="5" applyFont="1" applyFill="1" applyBorder="1" applyAlignment="1">
      <alignment horizontal="left" vertical="center" wrapText="1"/>
    </xf>
    <xf numFmtId="44" fontId="34" fillId="25" borderId="49" xfId="5" applyNumberFormat="1" applyFont="1" applyFill="1" applyBorder="1" applyAlignment="1">
      <alignment horizontal="center" vertical="center"/>
    </xf>
    <xf numFmtId="44" fontId="34" fillId="25" borderId="7" xfId="5" applyNumberFormat="1" applyFont="1" applyFill="1" applyBorder="1" applyAlignment="1">
      <alignment horizontal="right" vertical="center"/>
    </xf>
    <xf numFmtId="44" fontId="34" fillId="0" borderId="7" xfId="5" applyNumberFormat="1" applyFont="1" applyBorder="1" applyAlignment="1">
      <alignment horizontal="right" vertical="center"/>
    </xf>
    <xf numFmtId="44" fontId="34" fillId="25" borderId="33" xfId="5" applyNumberFormat="1" applyFont="1" applyFill="1" applyBorder="1" applyAlignment="1">
      <alignment horizontal="center" vertical="center"/>
    </xf>
    <xf numFmtId="44" fontId="29" fillId="23" borderId="7" xfId="5" applyNumberFormat="1" applyFont="1" applyFill="1" applyBorder="1" applyAlignment="1">
      <alignment horizontal="center" vertical="center"/>
    </xf>
    <xf numFmtId="0" fontId="32" fillId="22" borderId="7" xfId="5" applyFont="1" applyFill="1" applyBorder="1" applyAlignment="1">
      <alignment vertical="center" wrapText="1"/>
    </xf>
    <xf numFmtId="44" fontId="28" fillId="27" borderId="7" xfId="5" applyNumberFormat="1" applyFont="1" applyFill="1" applyBorder="1" applyAlignment="1">
      <alignment horizontal="right" vertical="center" wrapText="1"/>
    </xf>
    <xf numFmtId="0" fontId="29" fillId="28" borderId="7" xfId="5" applyFont="1" applyFill="1" applyBorder="1" applyAlignment="1">
      <alignment horizontal="left" vertical="center" wrapText="1"/>
    </xf>
    <xf numFmtId="44" fontId="34" fillId="28" borderId="7" xfId="5" applyNumberFormat="1" applyFont="1" applyFill="1" applyBorder="1" applyAlignment="1">
      <alignment horizontal="right" vertical="center"/>
    </xf>
    <xf numFmtId="44" fontId="28" fillId="29" borderId="7" xfId="5" applyNumberFormat="1" applyFont="1" applyFill="1" applyBorder="1" applyAlignment="1">
      <alignment horizontal="right" vertical="center" wrapText="1"/>
    </xf>
    <xf numFmtId="0" fontId="29" fillId="30" borderId="7" xfId="5" applyFont="1" applyFill="1" applyBorder="1" applyAlignment="1">
      <alignment horizontal="left" vertical="center" wrapText="1"/>
    </xf>
    <xf numFmtId="44" fontId="35" fillId="0" borderId="7" xfId="5" applyNumberFormat="1" applyFont="1" applyBorder="1" applyAlignment="1">
      <alignment horizontal="left" vertical="center"/>
    </xf>
    <xf numFmtId="0" fontId="29" fillId="28" borderId="7" xfId="5" applyFont="1" applyFill="1" applyBorder="1" applyAlignment="1">
      <alignment vertical="center" wrapText="1"/>
    </xf>
    <xf numFmtId="44" fontId="28" fillId="31" borderId="7" xfId="5" applyNumberFormat="1" applyFont="1" applyFill="1" applyBorder="1" applyAlignment="1">
      <alignment horizontal="right" vertical="center" wrapText="1"/>
    </xf>
    <xf numFmtId="44" fontId="28" fillId="32" borderId="7" xfId="5" applyNumberFormat="1" applyFont="1" applyFill="1" applyBorder="1" applyAlignment="1">
      <alignment horizontal="right" vertical="center" wrapText="1"/>
    </xf>
    <xf numFmtId="44" fontId="34" fillId="25" borderId="7" xfId="5" applyNumberFormat="1" applyFont="1" applyFill="1" applyBorder="1" applyAlignment="1">
      <alignment horizontal="center" vertical="center"/>
    </xf>
    <xf numFmtId="44" fontId="29" fillId="0" borderId="7" xfId="5" applyNumberFormat="1" applyFont="1" applyBorder="1" applyAlignment="1">
      <alignment horizontal="center" vertical="center"/>
    </xf>
    <xf numFmtId="169" fontId="34" fillId="25" borderId="7" xfId="5" applyNumberFormat="1" applyFont="1" applyFill="1" applyBorder="1" applyAlignment="1">
      <alignment horizontal="right" vertical="center"/>
    </xf>
    <xf numFmtId="0" fontId="27" fillId="20" borderId="7" xfId="5" applyFont="1" applyFill="1" applyBorder="1" applyAlignment="1">
      <alignment vertical="center" wrapText="1"/>
    </xf>
    <xf numFmtId="44" fontId="28" fillId="33" borderId="7" xfId="5" applyNumberFormat="1" applyFont="1" applyFill="1" applyBorder="1" applyAlignment="1">
      <alignment horizontal="right" vertical="center" wrapText="1"/>
    </xf>
    <xf numFmtId="44" fontId="36" fillId="23" borderId="7" xfId="5" applyNumberFormat="1" applyFont="1" applyFill="1" applyBorder="1" applyAlignment="1">
      <alignment horizontal="right" vertical="center"/>
    </xf>
    <xf numFmtId="0" fontId="27" fillId="0" borderId="0" xfId="5" applyFont="1" applyAlignment="1">
      <alignment vertical="center" wrapText="1"/>
    </xf>
    <xf numFmtId="44" fontId="28" fillId="0" borderId="0" xfId="5" applyNumberFormat="1" applyFont="1" applyAlignment="1">
      <alignment horizontal="right" vertical="center" wrapText="1"/>
    </xf>
    <xf numFmtId="44" fontId="37" fillId="0" borderId="0" xfId="5" applyNumberFormat="1" applyFont="1" applyAlignment="1">
      <alignment horizontal="right" vertical="center"/>
    </xf>
    <xf numFmtId="44" fontId="33" fillId="14" borderId="0" xfId="6" applyNumberFormat="1" applyFont="1" applyFill="1" applyBorder="1" applyAlignment="1">
      <alignment vertical="center"/>
    </xf>
    <xf numFmtId="44" fontId="38" fillId="14" borderId="0" xfId="6" applyNumberFormat="1" applyFont="1" applyFill="1" applyBorder="1" applyAlignment="1">
      <alignment vertical="center"/>
    </xf>
    <xf numFmtId="44" fontId="38" fillId="14" borderId="0" xfId="5" applyNumberFormat="1" applyFont="1" applyFill="1" applyAlignment="1">
      <alignment vertical="center"/>
    </xf>
    <xf numFmtId="44" fontId="38" fillId="14" borderId="0" xfId="5" applyNumberFormat="1" applyFont="1" applyFill="1" applyAlignment="1">
      <alignment vertical="center" wrapText="1"/>
    </xf>
    <xf numFmtId="44" fontId="38" fillId="14" borderId="0" xfId="5" applyNumberFormat="1" applyFont="1" applyFill="1" applyAlignment="1">
      <alignment horizontal="center" vertical="center"/>
    </xf>
    <xf numFmtId="170" fontId="38" fillId="14" borderId="0" xfId="5" applyNumberFormat="1" applyFont="1" applyFill="1" applyAlignment="1">
      <alignment horizontal="right" vertical="center"/>
    </xf>
    <xf numFmtId="0" fontId="33" fillId="14" borderId="0" xfId="5" applyFont="1" applyFill="1" applyAlignment="1">
      <alignment vertical="center"/>
    </xf>
    <xf numFmtId="0" fontId="38" fillId="14" borderId="0" xfId="5" applyFont="1" applyFill="1" applyAlignment="1">
      <alignment vertical="center"/>
    </xf>
    <xf numFmtId="171" fontId="38" fillId="14" borderId="0" xfId="5" applyNumberFormat="1" applyFont="1" applyFill="1" applyAlignment="1">
      <alignment vertical="center"/>
    </xf>
    <xf numFmtId="43" fontId="38" fillId="14" borderId="0" xfId="5" applyNumberFormat="1" applyFont="1" applyFill="1" applyAlignment="1">
      <alignment vertical="center"/>
    </xf>
    <xf numFmtId="0" fontId="38" fillId="14" borderId="0" xfId="5" applyFont="1" applyFill="1" applyAlignment="1">
      <alignment vertical="center" wrapText="1"/>
    </xf>
    <xf numFmtId="170" fontId="38" fillId="14" borderId="0" xfId="5" applyNumberFormat="1" applyFont="1" applyFill="1" applyAlignment="1">
      <alignment vertical="center" wrapText="1"/>
    </xf>
    <xf numFmtId="43" fontId="38" fillId="14" borderId="0" xfId="6" applyFont="1" applyFill="1" applyBorder="1" applyAlignment="1">
      <alignment vertical="center"/>
    </xf>
    <xf numFmtId="0" fontId="38" fillId="0" borderId="0" xfId="5" applyFont="1" applyAlignment="1">
      <alignment vertical="center"/>
    </xf>
    <xf numFmtId="0" fontId="38" fillId="0" borderId="0" xfId="5" applyFont="1" applyAlignment="1">
      <alignment vertical="center" wrapText="1"/>
    </xf>
    <xf numFmtId="49" fontId="27" fillId="17" borderId="7" xfId="5" quotePrefix="1" applyNumberFormat="1" applyFont="1" applyFill="1" applyBorder="1" applyAlignment="1">
      <alignment horizontal="center" vertical="center" wrapText="1"/>
    </xf>
    <xf numFmtId="49" fontId="27" fillId="18" borderId="7" xfId="5" quotePrefix="1" applyNumberFormat="1" applyFont="1" applyFill="1" applyBorder="1" applyAlignment="1">
      <alignment horizontal="center" vertical="center" wrapText="1"/>
    </xf>
    <xf numFmtId="0" fontId="27" fillId="17" borderId="7" xfId="5" applyFont="1" applyFill="1" applyBorder="1" applyAlignment="1">
      <alignment horizontal="center" vertical="center" wrapText="1"/>
    </xf>
    <xf numFmtId="49" fontId="27" fillId="17" borderId="7" xfId="5" applyNumberFormat="1" applyFont="1" applyFill="1" applyBorder="1" applyAlignment="1">
      <alignment horizontal="center" vertical="center" wrapText="1"/>
    </xf>
    <xf numFmtId="44" fontId="27" fillId="19" borderId="7" xfId="5" applyNumberFormat="1" applyFont="1" applyFill="1" applyBorder="1" applyAlignment="1">
      <alignment horizontal="right" vertical="center" wrapText="1"/>
    </xf>
    <xf numFmtId="44" fontId="32" fillId="20" borderId="7" xfId="5" applyNumberFormat="1" applyFont="1" applyFill="1" applyBorder="1" applyAlignment="1">
      <alignment horizontal="right" vertical="center" wrapText="1"/>
    </xf>
    <xf numFmtId="44" fontId="32" fillId="22" borderId="7" xfId="5" applyNumberFormat="1" applyFont="1" applyFill="1" applyBorder="1" applyAlignment="1">
      <alignment horizontal="right" vertical="center" wrapText="1"/>
    </xf>
    <xf numFmtId="44" fontId="29" fillId="25" borderId="36" xfId="5" applyNumberFormat="1" applyFont="1" applyFill="1" applyBorder="1" applyAlignment="1">
      <alignment horizontal="center" vertical="center"/>
    </xf>
    <xf numFmtId="44" fontId="29" fillId="24" borderId="7" xfId="5" applyNumberFormat="1" applyFont="1" applyFill="1" applyBorder="1" applyAlignment="1">
      <alignment horizontal="right" vertical="center"/>
    </xf>
    <xf numFmtId="44" fontId="29" fillId="25" borderId="49" xfId="5" applyNumberFormat="1" applyFont="1" applyFill="1" applyBorder="1" applyAlignment="1">
      <alignment horizontal="center" vertical="center"/>
    </xf>
    <xf numFmtId="44" fontId="29" fillId="25" borderId="7" xfId="5" applyNumberFormat="1" applyFont="1" applyFill="1" applyBorder="1" applyAlignment="1">
      <alignment horizontal="right" vertical="center"/>
    </xf>
    <xf numFmtId="44" fontId="29" fillId="0" borderId="7" xfId="5" applyNumberFormat="1" applyFont="1" applyBorder="1" applyAlignment="1">
      <alignment horizontal="right" vertical="center"/>
    </xf>
    <xf numFmtId="44" fontId="29" fillId="25" borderId="33" xfId="5" applyNumberFormat="1" applyFont="1" applyFill="1" applyBorder="1" applyAlignment="1">
      <alignment horizontal="center" vertical="center"/>
    </xf>
    <xf numFmtId="44" fontId="32" fillId="27" borderId="7" xfId="5" applyNumberFormat="1" applyFont="1" applyFill="1" applyBorder="1" applyAlignment="1">
      <alignment horizontal="right" vertical="center" wrapText="1"/>
    </xf>
    <xf numFmtId="44" fontId="29" fillId="24" borderId="36" xfId="5" applyNumberFormat="1" applyFont="1" applyFill="1" applyBorder="1" applyAlignment="1">
      <alignment horizontal="center" vertical="center"/>
    </xf>
    <xf numFmtId="44" fontId="29" fillId="24" borderId="33" xfId="5" applyNumberFormat="1" applyFont="1" applyFill="1" applyBorder="1" applyAlignment="1">
      <alignment horizontal="center" vertical="center"/>
    </xf>
    <xf numFmtId="44" fontId="29" fillId="28" borderId="7" xfId="5" applyNumberFormat="1" applyFont="1" applyFill="1" applyBorder="1" applyAlignment="1">
      <alignment horizontal="right" vertical="center"/>
    </xf>
    <xf numFmtId="44" fontId="29" fillId="30" borderId="7" xfId="5" applyNumberFormat="1" applyFont="1" applyFill="1" applyBorder="1" applyAlignment="1">
      <alignment horizontal="right" vertical="center"/>
    </xf>
    <xf numFmtId="44" fontId="29" fillId="25" borderId="7" xfId="5" applyNumberFormat="1" applyFont="1" applyFill="1" applyBorder="1" applyAlignment="1">
      <alignment horizontal="center" vertical="center"/>
    </xf>
    <xf numFmtId="44" fontId="32" fillId="33" borderId="7" xfId="5" applyNumberFormat="1" applyFont="1" applyFill="1" applyBorder="1" applyAlignment="1">
      <alignment horizontal="right" vertical="center" wrapText="1"/>
    </xf>
    <xf numFmtId="44" fontId="37" fillId="23" borderId="7" xfId="5" applyNumberFormat="1" applyFont="1" applyFill="1" applyBorder="1" applyAlignment="1">
      <alignment horizontal="right" vertical="center"/>
    </xf>
    <xf numFmtId="44" fontId="32" fillId="0" borderId="0" xfId="5" applyNumberFormat="1" applyFont="1" applyAlignment="1">
      <alignment horizontal="right" vertical="center" wrapText="1"/>
    </xf>
    <xf numFmtId="44" fontId="33" fillId="14" borderId="0" xfId="5" applyNumberFormat="1" applyFont="1" applyFill="1" applyAlignment="1">
      <alignment vertical="center"/>
    </xf>
    <xf numFmtId="44" fontId="33" fillId="14" borderId="0" xfId="5" applyNumberFormat="1" applyFont="1" applyFill="1" applyAlignment="1">
      <alignment vertical="center" wrapText="1"/>
    </xf>
    <xf numFmtId="44" fontId="33" fillId="14" borderId="0" xfId="5" applyNumberFormat="1" applyFont="1" applyFill="1" applyAlignment="1">
      <alignment horizontal="center" vertical="center"/>
    </xf>
    <xf numFmtId="170" fontId="33" fillId="14" borderId="0" xfId="5" applyNumberFormat="1" applyFont="1" applyFill="1" applyAlignment="1">
      <alignment horizontal="right" vertical="center"/>
    </xf>
    <xf numFmtId="171" fontId="33" fillId="14" borderId="0" xfId="5" applyNumberFormat="1" applyFont="1" applyFill="1" applyAlignment="1">
      <alignment vertical="center"/>
    </xf>
    <xf numFmtId="43" fontId="33" fillId="14" borderId="0" xfId="5" applyNumberFormat="1" applyFont="1" applyFill="1" applyAlignment="1">
      <alignment vertical="center"/>
    </xf>
    <xf numFmtId="0" fontId="33" fillId="14" borderId="0" xfId="5" applyFont="1" applyFill="1" applyAlignment="1">
      <alignment vertical="center" wrapText="1"/>
    </xf>
    <xf numFmtId="170" fontId="33" fillId="14" borderId="0" xfId="5" applyNumberFormat="1" applyFont="1" applyFill="1" applyAlignment="1">
      <alignment vertical="center" wrapText="1"/>
    </xf>
    <xf numFmtId="43" fontId="33" fillId="14" borderId="0" xfId="6" applyFont="1" applyFill="1" applyBorder="1" applyAlignment="1">
      <alignment vertical="center"/>
    </xf>
    <xf numFmtId="0" fontId="33" fillId="0" borderId="0" xfId="5" applyFont="1" applyAlignment="1">
      <alignment vertical="center" wrapText="1"/>
    </xf>
    <xf numFmtId="0" fontId="7" fillId="14" borderId="58" xfId="0" applyFont="1" applyFill="1" applyBorder="1" applyAlignment="1">
      <alignment horizontal="center" vertical="center"/>
    </xf>
    <xf numFmtId="0" fontId="7" fillId="14" borderId="59" xfId="0" applyFont="1" applyFill="1" applyBorder="1" applyAlignment="1">
      <alignment horizontal="center" vertical="center"/>
    </xf>
    <xf numFmtId="0" fontId="7" fillId="14" borderId="60" xfId="0" applyFont="1" applyFill="1" applyBorder="1" applyAlignment="1">
      <alignment horizontal="center" vertical="center"/>
    </xf>
    <xf numFmtId="0" fontId="7" fillId="14" borderId="57" xfId="0" applyFont="1" applyFill="1" applyBorder="1" applyAlignment="1">
      <alignment horizontal="center" vertical="center"/>
    </xf>
    <xf numFmtId="0" fontId="7" fillId="14" borderId="36" xfId="0" applyFont="1" applyFill="1" applyBorder="1" applyAlignment="1">
      <alignment horizontal="left" vertical="center" wrapText="1"/>
    </xf>
    <xf numFmtId="0" fontId="7" fillId="14" borderId="33" xfId="0" applyFont="1" applyFill="1" applyBorder="1" applyAlignment="1">
      <alignment horizontal="left" vertical="center" wrapText="1"/>
    </xf>
    <xf numFmtId="0" fontId="7" fillId="14" borderId="23" xfId="0" applyFont="1" applyFill="1" applyBorder="1" applyAlignment="1">
      <alignment vertical="center" wrapText="1"/>
    </xf>
    <xf numFmtId="0" fontId="7" fillId="14" borderId="24" xfId="0" applyFont="1" applyFill="1" applyBorder="1" applyAlignment="1">
      <alignment horizontal="center" vertical="center"/>
    </xf>
    <xf numFmtId="0" fontId="7" fillId="14" borderId="24" xfId="0" applyFont="1" applyFill="1" applyBorder="1" applyAlignment="1">
      <alignment horizontal="left" vertical="center" wrapText="1"/>
    </xf>
    <xf numFmtId="0" fontId="7" fillId="14" borderId="24" xfId="0" applyFont="1" applyFill="1" applyBorder="1" applyAlignment="1">
      <alignment horizontal="center" vertical="center" wrapText="1"/>
    </xf>
    <xf numFmtId="0" fontId="7" fillId="16" borderId="24" xfId="0" applyFont="1" applyFill="1" applyBorder="1" applyAlignment="1">
      <alignment horizontal="center" vertical="center"/>
    </xf>
    <xf numFmtId="165" fontId="7" fillId="0" borderId="24" xfId="0" applyNumberFormat="1" applyFont="1" applyBorder="1" applyAlignment="1">
      <alignment vertical="center"/>
    </xf>
    <xf numFmtId="165" fontId="7" fillId="14" borderId="24" xfId="0" applyNumberFormat="1" applyFont="1" applyFill="1" applyBorder="1" applyAlignment="1">
      <alignment vertical="center"/>
    </xf>
    <xf numFmtId="165" fontId="7" fillId="14" borderId="61" xfId="0" applyNumberFormat="1" applyFont="1" applyFill="1" applyBorder="1" applyAlignment="1">
      <alignment horizontal="center" vertical="center"/>
    </xf>
    <xf numFmtId="165" fontId="7" fillId="16" borderId="62" xfId="0" applyNumberFormat="1" applyFont="1" applyFill="1" applyBorder="1" applyAlignment="1">
      <alignment horizontal="center" vertical="center"/>
    </xf>
    <xf numFmtId="0" fontId="7" fillId="14" borderId="26" xfId="0" applyFont="1" applyFill="1" applyBorder="1" applyAlignment="1">
      <alignment vertical="center" wrapText="1"/>
    </xf>
    <xf numFmtId="165" fontId="7" fillId="16" borderId="63" xfId="0" applyNumberFormat="1" applyFont="1" applyFill="1" applyBorder="1" applyAlignment="1">
      <alignment horizontal="center" vertical="center"/>
    </xf>
    <xf numFmtId="0" fontId="7" fillId="14" borderId="29" xfId="0" applyFont="1" applyFill="1" applyBorder="1" applyAlignment="1">
      <alignment horizontal="center" vertical="center"/>
    </xf>
    <xf numFmtId="0" fontId="7" fillId="14" borderId="29" xfId="0" applyFont="1" applyFill="1" applyBorder="1" applyAlignment="1">
      <alignment horizontal="left" vertical="center" wrapText="1"/>
    </xf>
    <xf numFmtId="0" fontId="7" fillId="14" borderId="29" xfId="0" applyFont="1" applyFill="1" applyBorder="1" applyAlignment="1">
      <alignment horizontal="center" vertical="center" wrapText="1"/>
    </xf>
    <xf numFmtId="0" fontId="7" fillId="16" borderId="29" xfId="0" applyFont="1" applyFill="1" applyBorder="1" applyAlignment="1">
      <alignment horizontal="center" vertical="center"/>
    </xf>
    <xf numFmtId="165" fontId="7" fillId="14" borderId="64" xfId="0" applyNumberFormat="1" applyFont="1" applyFill="1" applyBorder="1" applyAlignment="1">
      <alignment horizontal="center" vertical="center"/>
    </xf>
    <xf numFmtId="165" fontId="7" fillId="16" borderId="65" xfId="0" applyNumberFormat="1" applyFont="1" applyFill="1" applyBorder="1" applyAlignment="1">
      <alignment horizontal="center" vertical="center"/>
    </xf>
    <xf numFmtId="0" fontId="7" fillId="14" borderId="55" xfId="0" applyFont="1" applyFill="1" applyBorder="1" applyAlignment="1">
      <alignment horizontal="center" vertical="center"/>
    </xf>
    <xf numFmtId="0" fontId="7" fillId="14" borderId="66" xfId="0" applyFont="1" applyFill="1" applyBorder="1" applyAlignment="1">
      <alignment horizontal="left" vertical="center" wrapText="1"/>
    </xf>
    <xf numFmtId="0" fontId="7" fillId="14" borderId="67" xfId="0" applyFont="1" applyFill="1" applyBorder="1" applyAlignment="1">
      <alignment horizontal="center" vertical="center"/>
    </xf>
    <xf numFmtId="0" fontId="7" fillId="14" borderId="67" xfId="0" applyFont="1" applyFill="1" applyBorder="1" applyAlignment="1">
      <alignment horizontal="left" vertical="center" wrapText="1"/>
    </xf>
    <xf numFmtId="0" fontId="7" fillId="14" borderId="67" xfId="0" applyFont="1" applyFill="1" applyBorder="1" applyAlignment="1">
      <alignment horizontal="center" vertical="center" wrapText="1"/>
    </xf>
    <xf numFmtId="0" fontId="7" fillId="16" borderId="67" xfId="0" applyFont="1" applyFill="1" applyBorder="1" applyAlignment="1">
      <alignment horizontal="center" vertical="center"/>
    </xf>
    <xf numFmtId="165" fontId="7" fillId="0" borderId="67" xfId="0" applyNumberFormat="1" applyFont="1" applyBorder="1" applyAlignment="1">
      <alignment horizontal="right" vertical="center"/>
    </xf>
    <xf numFmtId="165" fontId="7" fillId="14" borderId="67" xfId="0" applyNumberFormat="1" applyFont="1" applyFill="1" applyBorder="1" applyAlignment="1">
      <alignment horizontal="right" vertical="center"/>
    </xf>
    <xf numFmtId="165" fontId="7" fillId="16" borderId="68" xfId="0" applyNumberFormat="1" applyFont="1" applyFill="1" applyBorder="1" applyAlignment="1">
      <alignment horizontal="right" vertical="center"/>
    </xf>
    <xf numFmtId="0" fontId="7" fillId="14" borderId="35" xfId="0" applyFont="1" applyFill="1" applyBorder="1" applyAlignment="1">
      <alignment vertical="center" wrapText="1"/>
    </xf>
    <xf numFmtId="165" fontId="7" fillId="0" borderId="61" xfId="0" applyNumberFormat="1" applyFont="1" applyBorder="1" applyAlignment="1">
      <alignment vertical="center"/>
    </xf>
    <xf numFmtId="0" fontId="7" fillId="14" borderId="55" xfId="0" applyFont="1" applyFill="1" applyBorder="1" applyAlignment="1">
      <alignment horizontal="center" vertical="center"/>
    </xf>
    <xf numFmtId="0" fontId="7" fillId="14" borderId="23" xfId="0" applyFont="1" applyFill="1" applyBorder="1" applyAlignment="1">
      <alignment horizontal="left" vertical="center" wrapText="1"/>
    </xf>
    <xf numFmtId="0" fontId="7" fillId="2" borderId="24" xfId="0" applyFont="1" applyFill="1" applyBorder="1" applyAlignment="1">
      <alignment horizontal="left" vertical="center" wrapText="1"/>
    </xf>
    <xf numFmtId="165" fontId="7" fillId="14" borderId="24" xfId="0" applyNumberFormat="1" applyFont="1" applyFill="1" applyBorder="1" applyAlignment="1">
      <alignment horizontal="center" vertical="center"/>
    </xf>
    <xf numFmtId="165" fontId="7" fillId="16" borderId="25" xfId="0" applyNumberFormat="1" applyFont="1" applyFill="1" applyBorder="1" applyAlignment="1">
      <alignment horizontal="center" vertical="center"/>
    </xf>
    <xf numFmtId="0" fontId="7" fillId="14" borderId="26" xfId="0" applyFont="1" applyFill="1" applyBorder="1" applyAlignment="1">
      <alignment horizontal="left" vertical="center" wrapText="1"/>
    </xf>
    <xf numFmtId="165" fontId="7" fillId="16" borderId="27" xfId="0" applyNumberFormat="1" applyFont="1" applyFill="1" applyBorder="1" applyAlignment="1">
      <alignment horizontal="center" vertical="center"/>
    </xf>
    <xf numFmtId="0" fontId="7" fillId="14" borderId="28" xfId="0" applyFont="1" applyFill="1" applyBorder="1" applyAlignment="1">
      <alignment horizontal="left" vertical="center" wrapText="1"/>
    </xf>
    <xf numFmtId="165" fontId="7" fillId="16" borderId="30" xfId="0" applyNumberFormat="1" applyFont="1" applyFill="1" applyBorder="1" applyAlignment="1">
      <alignment horizontal="center" vertical="center"/>
    </xf>
    <xf numFmtId="0" fontId="7" fillId="14" borderId="35" xfId="0" applyFont="1" applyFill="1" applyBorder="1" applyAlignment="1">
      <alignment horizontal="left" vertical="center" wrapText="1"/>
    </xf>
    <xf numFmtId="0" fontId="7" fillId="2" borderId="36" xfId="0" applyFont="1" applyFill="1" applyBorder="1" applyAlignment="1">
      <alignment horizontal="left" vertical="center" wrapText="1"/>
    </xf>
    <xf numFmtId="165" fontId="7" fillId="16" borderId="31" xfId="0" applyNumberFormat="1" applyFont="1" applyFill="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vertical="center" wrapText="1"/>
    </xf>
    <xf numFmtId="0" fontId="7" fillId="0" borderId="28" xfId="0" applyFont="1" applyBorder="1" applyAlignment="1">
      <alignment vertical="center" wrapText="1"/>
    </xf>
    <xf numFmtId="0" fontId="7" fillId="0" borderId="29" xfId="0" applyFont="1" applyBorder="1" applyAlignment="1">
      <alignment horizontal="center" vertical="center"/>
    </xf>
    <xf numFmtId="167" fontId="7" fillId="0" borderId="24" xfId="3" applyNumberFormat="1" applyFont="1" applyFill="1" applyBorder="1" applyAlignment="1">
      <alignment vertical="center"/>
    </xf>
    <xf numFmtId="167" fontId="7" fillId="14" borderId="24" xfId="3" applyNumberFormat="1" applyFont="1" applyFill="1" applyBorder="1" applyAlignment="1">
      <alignment vertical="center"/>
    </xf>
    <xf numFmtId="167" fontId="7" fillId="14" borderId="24" xfId="3" applyNumberFormat="1" applyFont="1" applyFill="1" applyBorder="1" applyAlignment="1">
      <alignment vertical="center"/>
    </xf>
    <xf numFmtId="167" fontId="7" fillId="0" borderId="61" xfId="3" applyNumberFormat="1" applyFont="1" applyFill="1" applyBorder="1" applyAlignment="1">
      <alignment vertical="center"/>
    </xf>
    <xf numFmtId="167" fontId="7" fillId="14" borderId="36" xfId="3" applyNumberFormat="1" applyFont="1" applyFill="1" applyBorder="1" applyAlignment="1">
      <alignment vertical="center"/>
    </xf>
    <xf numFmtId="167" fontId="7" fillId="14" borderId="36" xfId="3" applyNumberFormat="1" applyFont="1" applyFill="1" applyBorder="1" applyAlignment="1">
      <alignment vertical="center"/>
    </xf>
    <xf numFmtId="168" fontId="7" fillId="0" borderId="24" xfId="0" applyNumberFormat="1" applyFont="1" applyBorder="1" applyAlignment="1">
      <alignment vertical="center"/>
    </xf>
    <xf numFmtId="168" fontId="7" fillId="14" borderId="24" xfId="0" applyNumberFormat="1" applyFont="1" applyFill="1" applyBorder="1" applyAlignment="1">
      <alignment vertical="center"/>
    </xf>
    <xf numFmtId="168" fontId="7" fillId="14" borderId="24" xfId="0" applyNumberFormat="1" applyFont="1" applyFill="1" applyBorder="1" applyAlignment="1">
      <alignment horizontal="center" vertical="center"/>
    </xf>
    <xf numFmtId="0" fontId="7" fillId="14" borderId="35" xfId="0" applyFont="1" applyFill="1" applyBorder="1" applyAlignment="1">
      <alignment horizontal="center" vertical="center" wrapText="1"/>
    </xf>
    <xf numFmtId="0" fontId="7" fillId="14" borderId="69" xfId="0" applyFont="1" applyFill="1" applyBorder="1" applyAlignment="1">
      <alignment horizontal="center" vertical="center" wrapText="1"/>
    </xf>
    <xf numFmtId="0" fontId="7" fillId="14" borderId="32" xfId="0" applyFont="1" applyFill="1" applyBorder="1" applyAlignment="1">
      <alignment horizontal="center" vertical="center" wrapText="1"/>
    </xf>
    <xf numFmtId="168" fontId="7" fillId="14" borderId="29" xfId="0" applyNumberFormat="1" applyFont="1" applyFill="1" applyBorder="1" applyAlignment="1">
      <alignment vertical="center"/>
    </xf>
    <xf numFmtId="168" fontId="7" fillId="14" borderId="29" xfId="0" applyNumberFormat="1" applyFont="1" applyFill="1" applyBorder="1" applyAlignment="1">
      <alignment horizontal="center" vertical="center"/>
    </xf>
    <xf numFmtId="168" fontId="7" fillId="0" borderId="61" xfId="0" applyNumberFormat="1" applyFont="1" applyBorder="1" applyAlignment="1">
      <alignment vertical="center"/>
    </xf>
    <xf numFmtId="168" fontId="7" fillId="14" borderId="36" xfId="0" applyNumberFormat="1" applyFont="1" applyFill="1" applyBorder="1" applyAlignment="1">
      <alignment vertical="center"/>
    </xf>
    <xf numFmtId="168" fontId="7" fillId="14" borderId="36" xfId="0" applyNumberFormat="1" applyFont="1" applyFill="1" applyBorder="1" applyAlignment="1">
      <alignment horizontal="center" vertical="center"/>
    </xf>
    <xf numFmtId="44" fontId="7" fillId="16" borderId="7" xfId="0" applyNumberFormat="1" applyFont="1" applyFill="1" applyBorder="1" applyAlignment="1">
      <alignment horizontal="center" vertical="center"/>
    </xf>
    <xf numFmtId="0" fontId="40" fillId="0" borderId="70" xfId="7" applyFont="1" applyBorder="1" applyAlignment="1">
      <alignment horizontal="center" vertical="center"/>
    </xf>
    <xf numFmtId="0" fontId="40" fillId="0" borderId="71" xfId="7" applyFont="1" applyBorder="1" applyAlignment="1">
      <alignment horizontal="center" vertical="center"/>
    </xf>
    <xf numFmtId="0" fontId="40" fillId="0" borderId="72" xfId="7" applyFont="1" applyBorder="1" applyAlignment="1">
      <alignment horizontal="center" vertical="center"/>
    </xf>
    <xf numFmtId="0" fontId="39" fillId="0" borderId="0" xfId="7"/>
    <xf numFmtId="0" fontId="41" fillId="2" borderId="73" xfId="7" applyFont="1" applyFill="1" applyBorder="1" applyAlignment="1">
      <alignment horizontal="center" vertical="center" wrapText="1"/>
    </xf>
    <xf numFmtId="0" fontId="42" fillId="0" borderId="74" xfId="7" applyFont="1" applyBorder="1"/>
    <xf numFmtId="0" fontId="42" fillId="0" borderId="75" xfId="7" applyFont="1" applyBorder="1"/>
    <xf numFmtId="0" fontId="41" fillId="34" borderId="46" xfId="7" applyFont="1" applyFill="1" applyBorder="1" applyAlignment="1">
      <alignment horizontal="center" vertical="center" wrapText="1"/>
    </xf>
    <xf numFmtId="0" fontId="41" fillId="34" borderId="1" xfId="7" applyFont="1" applyFill="1" applyBorder="1" applyAlignment="1">
      <alignment horizontal="center" vertical="center" wrapText="1"/>
    </xf>
    <xf numFmtId="0" fontId="42" fillId="0" borderId="76" xfId="7" applyFont="1" applyBorder="1"/>
    <xf numFmtId="0" fontId="42" fillId="0" borderId="2" xfId="7" applyFont="1" applyBorder="1"/>
    <xf numFmtId="0" fontId="41" fillId="34" borderId="3" xfId="7" applyFont="1" applyFill="1" applyBorder="1" applyAlignment="1">
      <alignment horizontal="center" vertical="center" wrapText="1"/>
    </xf>
    <xf numFmtId="0" fontId="42" fillId="0" borderId="77" xfId="7" applyFont="1" applyBorder="1"/>
    <xf numFmtId="0" fontId="43" fillId="0" borderId="0" xfId="7" applyFont="1" applyAlignment="1">
      <alignment vertical="center"/>
    </xf>
    <xf numFmtId="0" fontId="42" fillId="0" borderId="14" xfId="7" applyFont="1" applyBorder="1"/>
    <xf numFmtId="0" fontId="41" fillId="34" borderId="5" xfId="7" applyFont="1" applyFill="1" applyBorder="1" applyAlignment="1">
      <alignment horizontal="center" vertical="center" wrapText="1"/>
    </xf>
    <xf numFmtId="0" fontId="42" fillId="0" borderId="6" xfId="7" applyFont="1" applyBorder="1"/>
    <xf numFmtId="0" fontId="41" fillId="34" borderId="1" xfId="7" applyFont="1" applyFill="1" applyBorder="1" applyAlignment="1">
      <alignment horizontal="center" vertical="center" wrapText="1"/>
    </xf>
    <xf numFmtId="0" fontId="44" fillId="34" borderId="27" xfId="7" applyFont="1" applyFill="1" applyBorder="1" applyAlignment="1">
      <alignment horizontal="center" vertical="center" wrapText="1"/>
    </xf>
    <xf numFmtId="0" fontId="43" fillId="0" borderId="0" xfId="7" applyFont="1" applyAlignment="1">
      <alignment horizontal="center"/>
    </xf>
    <xf numFmtId="0" fontId="41" fillId="35" borderId="10" xfId="7" applyFont="1" applyFill="1" applyBorder="1" applyAlignment="1">
      <alignment vertical="center" wrapText="1"/>
    </xf>
    <xf numFmtId="0" fontId="41" fillId="35" borderId="5" xfId="7" applyFont="1" applyFill="1" applyBorder="1" applyAlignment="1">
      <alignment horizontal="center" vertical="center" wrapText="1"/>
    </xf>
    <xf numFmtId="3" fontId="41" fillId="35" borderId="5" xfId="7" applyNumberFormat="1" applyFont="1" applyFill="1" applyBorder="1" applyAlignment="1">
      <alignment horizontal="left" vertical="center" wrapText="1"/>
    </xf>
    <xf numFmtId="0" fontId="45" fillId="35" borderId="5" xfId="7" applyFont="1" applyFill="1" applyBorder="1" applyAlignment="1">
      <alignment horizontal="center" vertical="center"/>
    </xf>
    <xf numFmtId="0" fontId="45" fillId="35" borderId="1" xfId="7" applyFont="1" applyFill="1" applyBorder="1" applyAlignment="1">
      <alignment horizontal="center" vertical="center"/>
    </xf>
    <xf numFmtId="0" fontId="46" fillId="35" borderId="27" xfId="7" applyFont="1" applyFill="1" applyBorder="1" applyAlignment="1">
      <alignment horizontal="center" vertical="center"/>
    </xf>
    <xf numFmtId="0" fontId="46" fillId="35" borderId="31" xfId="7" applyFont="1" applyFill="1" applyBorder="1" applyAlignment="1">
      <alignment horizontal="center" vertical="center"/>
    </xf>
    <xf numFmtId="0" fontId="41" fillId="20" borderId="10" xfId="7" applyFont="1" applyFill="1" applyBorder="1" applyAlignment="1">
      <alignment vertical="center" wrapText="1"/>
    </xf>
    <xf numFmtId="0" fontId="41" fillId="20" borderId="5" xfId="7" applyFont="1" applyFill="1" applyBorder="1" applyAlignment="1">
      <alignment horizontal="center" vertical="center" wrapText="1"/>
    </xf>
    <xf numFmtId="0" fontId="41" fillId="20" borderId="3" xfId="7" applyFont="1" applyFill="1" applyBorder="1" applyAlignment="1">
      <alignment horizontal="center" vertical="center" wrapText="1"/>
    </xf>
    <xf numFmtId="3" fontId="47" fillId="20" borderId="5" xfId="7" applyNumberFormat="1" applyFont="1" applyFill="1" applyBorder="1" applyAlignment="1">
      <alignment horizontal="left" vertical="center" wrapText="1"/>
    </xf>
    <xf numFmtId="0" fontId="45" fillId="20" borderId="5" xfId="7" applyFont="1" applyFill="1" applyBorder="1" applyAlignment="1">
      <alignment horizontal="center" vertical="center"/>
    </xf>
    <xf numFmtId="0" fontId="45" fillId="20" borderId="1" xfId="7" applyFont="1" applyFill="1" applyBorder="1" applyAlignment="1">
      <alignment horizontal="center" vertical="center"/>
    </xf>
    <xf numFmtId="0" fontId="46" fillId="20" borderId="55" xfId="7" applyFont="1" applyFill="1" applyBorder="1" applyAlignment="1">
      <alignment horizontal="center" vertical="center"/>
    </xf>
    <xf numFmtId="0" fontId="46" fillId="20" borderId="78" xfId="7" applyFont="1" applyFill="1" applyBorder="1" applyAlignment="1">
      <alignment horizontal="center" vertical="center"/>
    </xf>
    <xf numFmtId="0" fontId="47" fillId="2" borderId="46" xfId="7" applyFont="1" applyFill="1" applyBorder="1" applyAlignment="1">
      <alignment horizontal="left" vertical="center" wrapText="1"/>
    </xf>
    <xf numFmtId="0" fontId="47" fillId="2" borderId="3" xfId="7" applyFont="1" applyFill="1" applyBorder="1" applyAlignment="1">
      <alignment horizontal="center" vertical="center" wrapText="1"/>
    </xf>
    <xf numFmtId="0" fontId="47" fillId="2" borderId="79" xfId="7" applyFont="1" applyFill="1" applyBorder="1" applyAlignment="1">
      <alignment horizontal="center" vertical="center" wrapText="1"/>
    </xf>
    <xf numFmtId="3" fontId="47" fillId="2" borderId="7" xfId="7" applyNumberFormat="1" applyFont="1" applyFill="1" applyBorder="1" applyAlignment="1">
      <alignment horizontal="left" vertical="center" wrapText="1"/>
    </xf>
    <xf numFmtId="3" fontId="47" fillId="2" borderId="2" xfId="7" applyNumberFormat="1" applyFont="1" applyFill="1" applyBorder="1" applyAlignment="1">
      <alignment horizontal="left" vertical="center" wrapText="1"/>
    </xf>
    <xf numFmtId="0" fontId="45" fillId="2" borderId="5" xfId="7" applyFont="1" applyFill="1" applyBorder="1" applyAlignment="1">
      <alignment horizontal="center" vertical="center"/>
    </xf>
    <xf numFmtId="0" fontId="45" fillId="36" borderId="5" xfId="7" applyFont="1" applyFill="1" applyBorder="1" applyAlignment="1">
      <alignment horizontal="center" vertical="center"/>
    </xf>
    <xf numFmtId="0" fontId="45" fillId="37" borderId="5" xfId="7" applyFont="1" applyFill="1" applyBorder="1" applyAlignment="1">
      <alignment horizontal="center" vertical="center"/>
    </xf>
    <xf numFmtId="0" fontId="45" fillId="2" borderId="1" xfId="7" applyFont="1" applyFill="1" applyBorder="1" applyAlignment="1">
      <alignment horizontal="center" vertical="center"/>
    </xf>
    <xf numFmtId="0" fontId="46" fillId="2" borderId="55" xfId="7" applyFont="1" applyFill="1" applyBorder="1" applyAlignment="1">
      <alignment horizontal="center" vertical="center"/>
    </xf>
    <xf numFmtId="0" fontId="46" fillId="2" borderId="80" xfId="7" applyFont="1" applyFill="1" applyBorder="1" applyAlignment="1">
      <alignment horizontal="center" vertical="center" wrapText="1"/>
    </xf>
    <xf numFmtId="0" fontId="48" fillId="0" borderId="0" xfId="7" applyFont="1"/>
    <xf numFmtId="0" fontId="42" fillId="0" borderId="47" xfId="7" applyFont="1" applyBorder="1"/>
    <xf numFmtId="0" fontId="42" fillId="0" borderId="4" xfId="7" applyFont="1" applyBorder="1"/>
    <xf numFmtId="0" fontId="42" fillId="0" borderId="81" xfId="7" applyFont="1" applyBorder="1"/>
    <xf numFmtId="0" fontId="42" fillId="0" borderId="82" xfId="7" applyFont="1" applyBorder="1"/>
    <xf numFmtId="0" fontId="47" fillId="0" borderId="46" xfId="7" applyFont="1" applyBorder="1" applyAlignment="1">
      <alignment horizontal="left" vertical="center" wrapText="1"/>
    </xf>
    <xf numFmtId="0" fontId="49" fillId="0" borderId="3" xfId="7" applyFont="1" applyBorder="1" applyAlignment="1">
      <alignment horizontal="center" vertical="center" wrapText="1"/>
    </xf>
    <xf numFmtId="0" fontId="49" fillId="0" borderId="79" xfId="7" applyFont="1" applyBorder="1" applyAlignment="1">
      <alignment horizontal="center" vertical="center" wrapText="1"/>
    </xf>
    <xf numFmtId="0" fontId="47" fillId="0" borderId="47" xfId="7" applyFont="1" applyBorder="1" applyAlignment="1">
      <alignment horizontal="left" vertical="center" wrapText="1"/>
    </xf>
    <xf numFmtId="0" fontId="49" fillId="0" borderId="4" xfId="7" applyFont="1" applyBorder="1" applyAlignment="1">
      <alignment horizontal="center" vertical="center" wrapText="1"/>
    </xf>
    <xf numFmtId="0" fontId="49" fillId="0" borderId="81" xfId="7" applyFont="1" applyBorder="1" applyAlignment="1">
      <alignment horizontal="center" vertical="center" wrapText="1"/>
    </xf>
    <xf numFmtId="3" fontId="47" fillId="2" borderId="36" xfId="7" applyNumberFormat="1" applyFont="1" applyFill="1" applyBorder="1" applyAlignment="1">
      <alignment horizontal="left" vertical="center" wrapText="1"/>
    </xf>
    <xf numFmtId="0" fontId="47" fillId="0" borderId="83" xfId="7" applyFont="1" applyBorder="1" applyAlignment="1">
      <alignment horizontal="left" vertical="center" wrapText="1"/>
    </xf>
    <xf numFmtId="0" fontId="45" fillId="0" borderId="3" xfId="7" applyFont="1" applyBorder="1" applyAlignment="1">
      <alignment horizontal="center" vertical="center"/>
    </xf>
    <xf numFmtId="0" fontId="47" fillId="38" borderId="3" xfId="7" applyFont="1" applyFill="1" applyBorder="1" applyAlignment="1">
      <alignment horizontal="center" vertical="center"/>
    </xf>
    <xf numFmtId="0" fontId="47" fillId="39" borderId="3" xfId="7" applyFont="1" applyFill="1" applyBorder="1" applyAlignment="1">
      <alignment horizontal="center" vertical="center"/>
    </xf>
    <xf numFmtId="0" fontId="47" fillId="0" borderId="3" xfId="7" applyFont="1" applyBorder="1" applyAlignment="1">
      <alignment horizontal="center" vertical="center"/>
    </xf>
    <xf numFmtId="0" fontId="47" fillId="0" borderId="79" xfId="7" applyFont="1" applyBorder="1" applyAlignment="1">
      <alignment horizontal="center" vertical="center"/>
    </xf>
    <xf numFmtId="0" fontId="46" fillId="2" borderId="58" xfId="7" applyFont="1" applyFill="1" applyBorder="1" applyAlignment="1">
      <alignment horizontal="center" vertical="center"/>
    </xf>
    <xf numFmtId="0" fontId="45" fillId="0" borderId="7" xfId="7" applyFont="1" applyBorder="1" applyAlignment="1">
      <alignment horizontal="center" vertical="center"/>
    </xf>
    <xf numFmtId="0" fontId="45" fillId="36" borderId="7" xfId="7" applyFont="1" applyFill="1" applyBorder="1" applyAlignment="1">
      <alignment horizontal="center" vertical="center"/>
    </xf>
    <xf numFmtId="0" fontId="47" fillId="39" borderId="7" xfId="7" applyFont="1" applyFill="1" applyBorder="1" applyAlignment="1">
      <alignment horizontal="center" vertical="center"/>
    </xf>
    <xf numFmtId="0" fontId="47" fillId="0" borderId="7" xfId="7" applyFont="1" applyBorder="1" applyAlignment="1">
      <alignment horizontal="center" vertical="center"/>
    </xf>
    <xf numFmtId="0" fontId="47" fillId="0" borderId="55" xfId="7" applyFont="1" applyBorder="1" applyAlignment="1">
      <alignment horizontal="center" vertical="center"/>
    </xf>
    <xf numFmtId="0" fontId="41" fillId="20" borderId="4" xfId="7" applyFont="1" applyFill="1" applyBorder="1" applyAlignment="1">
      <alignment horizontal="center" vertical="center" wrapText="1"/>
    </xf>
    <xf numFmtId="3" fontId="47" fillId="20" borderId="6" xfId="7" applyNumberFormat="1" applyFont="1" applyFill="1" applyBorder="1" applyAlignment="1">
      <alignment horizontal="left" vertical="center" wrapText="1"/>
    </xf>
    <xf numFmtId="0" fontId="45" fillId="20" borderId="6" xfId="7" applyFont="1" applyFill="1" applyBorder="1" applyAlignment="1">
      <alignment horizontal="center" vertical="center"/>
    </xf>
    <xf numFmtId="0" fontId="45" fillId="20" borderId="82" xfId="7" applyFont="1" applyFill="1" applyBorder="1" applyAlignment="1">
      <alignment horizontal="center" vertical="center"/>
    </xf>
    <xf numFmtId="0" fontId="46" fillId="20" borderId="60" xfId="7" applyFont="1" applyFill="1" applyBorder="1" applyAlignment="1">
      <alignment horizontal="center" vertical="center"/>
    </xf>
    <xf numFmtId="0" fontId="46" fillId="20" borderId="84" xfId="7" applyFont="1" applyFill="1" applyBorder="1" applyAlignment="1">
      <alignment horizontal="center" vertical="center"/>
    </xf>
    <xf numFmtId="0" fontId="49" fillId="40" borderId="3" xfId="7" applyFont="1" applyFill="1" applyBorder="1" applyAlignment="1">
      <alignment horizontal="center" vertical="center" wrapText="1"/>
    </xf>
    <xf numFmtId="0" fontId="49" fillId="40" borderId="79" xfId="7" applyFont="1" applyFill="1" applyBorder="1" applyAlignment="1">
      <alignment horizontal="center" vertical="center" wrapText="1"/>
    </xf>
    <xf numFmtId="0" fontId="47" fillId="0" borderId="7" xfId="7" applyFont="1" applyBorder="1" applyAlignment="1">
      <alignment horizontal="left" vertical="center" wrapText="1"/>
    </xf>
    <xf numFmtId="0" fontId="47" fillId="0" borderId="2" xfId="7" applyFont="1" applyBorder="1" applyAlignment="1">
      <alignment horizontal="left" vertical="center" wrapText="1"/>
    </xf>
    <xf numFmtId="0" fontId="47" fillId="38" borderId="5" xfId="7" applyFont="1" applyFill="1" applyBorder="1" applyAlignment="1">
      <alignment horizontal="center" vertical="center"/>
    </xf>
    <xf numFmtId="0" fontId="47" fillId="39" borderId="5" xfId="7" applyFont="1" applyFill="1" applyBorder="1" applyAlignment="1">
      <alignment horizontal="center" vertical="center"/>
    </xf>
    <xf numFmtId="0" fontId="47" fillId="0" borderId="5" xfId="7" applyFont="1" applyBorder="1" applyAlignment="1">
      <alignment horizontal="center" vertical="center"/>
    </xf>
    <xf numFmtId="0" fontId="47" fillId="0" borderId="1" xfId="7" applyFont="1" applyBorder="1" applyAlignment="1">
      <alignment horizontal="center" vertical="center"/>
    </xf>
    <xf numFmtId="0" fontId="42" fillId="40" borderId="6" xfId="7" applyFont="1" applyFill="1" applyBorder="1"/>
    <xf numFmtId="0" fontId="42" fillId="40" borderId="82" xfId="7" applyFont="1" applyFill="1" applyBorder="1"/>
    <xf numFmtId="0" fontId="49" fillId="0" borderId="46" xfId="7" applyFont="1" applyBorder="1" applyAlignment="1">
      <alignment horizontal="center" vertical="center" wrapText="1"/>
    </xf>
    <xf numFmtId="0" fontId="46" fillId="0" borderId="55" xfId="7" applyFont="1" applyBorder="1" applyAlignment="1">
      <alignment horizontal="center" vertical="center"/>
    </xf>
    <xf numFmtId="0" fontId="41" fillId="35" borderId="10" xfId="7" applyFont="1" applyFill="1" applyBorder="1" applyAlignment="1">
      <alignment horizontal="left" vertical="center" wrapText="1"/>
    </xf>
    <xf numFmtId="0" fontId="41" fillId="35" borderId="5" xfId="7" applyFont="1" applyFill="1" applyBorder="1" applyAlignment="1">
      <alignment vertical="center" wrapText="1"/>
    </xf>
    <xf numFmtId="0" fontId="41" fillId="35" borderId="6" xfId="7" applyFont="1" applyFill="1" applyBorder="1" applyAlignment="1">
      <alignment horizontal="center" vertical="center" wrapText="1"/>
    </xf>
    <xf numFmtId="0" fontId="47" fillId="35" borderId="5" xfId="7" applyFont="1" applyFill="1" applyBorder="1" applyAlignment="1">
      <alignment horizontal="center" vertical="center"/>
    </xf>
    <xf numFmtId="0" fontId="47" fillId="35" borderId="1" xfId="7" applyFont="1" applyFill="1" applyBorder="1" applyAlignment="1">
      <alignment horizontal="center" vertical="center"/>
    </xf>
    <xf numFmtId="0" fontId="41" fillId="35" borderId="55" xfId="7" applyFont="1" applyFill="1" applyBorder="1" applyAlignment="1">
      <alignment horizontal="center" vertical="center"/>
    </xf>
    <xf numFmtId="0" fontId="41" fillId="35" borderId="80" xfId="7" applyFont="1" applyFill="1" applyBorder="1" applyAlignment="1">
      <alignment horizontal="center" vertical="center"/>
    </xf>
    <xf numFmtId="0" fontId="43" fillId="0" borderId="0" xfId="7" applyFont="1"/>
    <xf numFmtId="0" fontId="41" fillId="20" borderId="5" xfId="7" applyFont="1" applyFill="1" applyBorder="1" applyAlignment="1">
      <alignment vertical="center" wrapText="1"/>
    </xf>
    <xf numFmtId="0" fontId="41" fillId="20" borderId="3" xfId="7" applyFont="1" applyFill="1" applyBorder="1" applyAlignment="1">
      <alignment vertical="center" wrapText="1"/>
    </xf>
    <xf numFmtId="0" fontId="41" fillId="20" borderId="1" xfId="7" applyFont="1" applyFill="1" applyBorder="1" applyAlignment="1">
      <alignment vertical="center" wrapText="1"/>
    </xf>
    <xf numFmtId="0" fontId="41" fillId="20" borderId="55" xfId="7" applyFont="1" applyFill="1" applyBorder="1" applyAlignment="1">
      <alignment vertical="center" wrapText="1"/>
    </xf>
    <xf numFmtId="0" fontId="41" fillId="20" borderId="80" xfId="7" applyFont="1" applyFill="1" applyBorder="1" applyAlignment="1">
      <alignment vertical="center" wrapText="1"/>
    </xf>
    <xf numFmtId="0" fontId="49" fillId="0" borderId="85" xfId="7" applyFont="1" applyBorder="1" applyAlignment="1">
      <alignment horizontal="center" vertical="center" wrapText="1"/>
    </xf>
    <xf numFmtId="0" fontId="45" fillId="0" borderId="5" xfId="7" applyFont="1" applyBorder="1" applyAlignment="1">
      <alignment horizontal="center" vertical="center"/>
    </xf>
    <xf numFmtId="0" fontId="50" fillId="0" borderId="0" xfId="7" applyFont="1" applyAlignment="1">
      <alignment horizontal="left" vertical="center" wrapText="1"/>
    </xf>
    <xf numFmtId="0" fontId="1" fillId="0" borderId="0" xfId="7" applyFont="1"/>
    <xf numFmtId="0" fontId="49" fillId="0" borderId="47" xfId="7" applyFont="1" applyBorder="1" applyAlignment="1">
      <alignment horizontal="center" vertical="center" wrapText="1"/>
    </xf>
    <xf numFmtId="0" fontId="49" fillId="0" borderId="86" xfId="7" applyFont="1" applyBorder="1" applyAlignment="1">
      <alignment horizontal="center" vertical="center" wrapText="1"/>
    </xf>
    <xf numFmtId="0" fontId="49" fillId="0" borderId="14" xfId="7" applyFont="1" applyBorder="1" applyAlignment="1">
      <alignment horizontal="center" vertical="center" wrapText="1"/>
    </xf>
    <xf numFmtId="0" fontId="49" fillId="0" borderId="4" xfId="7" applyFont="1" applyBorder="1" applyAlignment="1">
      <alignment horizontal="center" vertical="center" wrapText="1"/>
    </xf>
    <xf numFmtId="0" fontId="49" fillId="0" borderId="81" xfId="7" applyFont="1" applyBorder="1" applyAlignment="1">
      <alignment horizontal="center" vertical="center" wrapText="1"/>
    </xf>
    <xf numFmtId="0" fontId="49" fillId="0" borderId="10" xfId="7" applyFont="1" applyBorder="1" applyAlignment="1">
      <alignment horizontal="left" vertical="center" wrapText="1"/>
    </xf>
    <xf numFmtId="0" fontId="49" fillId="0" borderId="5" xfId="7" applyFont="1" applyBorder="1" applyAlignment="1">
      <alignment horizontal="center" vertical="center" wrapText="1"/>
    </xf>
    <xf numFmtId="0" fontId="47" fillId="0" borderId="5" xfId="7" applyFont="1" applyBorder="1" applyAlignment="1">
      <alignment horizontal="left" vertical="center" wrapText="1"/>
    </xf>
    <xf numFmtId="0" fontId="49" fillId="0" borderId="46" xfId="7" applyFont="1" applyBorder="1" applyAlignment="1">
      <alignment horizontal="left" vertical="center" wrapText="1"/>
    </xf>
    <xf numFmtId="0" fontId="49" fillId="0" borderId="47" xfId="7" applyFont="1" applyBorder="1" applyAlignment="1">
      <alignment horizontal="left" vertical="center" wrapText="1"/>
    </xf>
    <xf numFmtId="0" fontId="49" fillId="0" borderId="14" xfId="7" applyFont="1" applyBorder="1" applyAlignment="1">
      <alignment horizontal="left" vertical="center" wrapText="1"/>
    </xf>
    <xf numFmtId="0" fontId="49" fillId="0" borderId="6" xfId="7" applyFont="1" applyBorder="1" applyAlignment="1">
      <alignment horizontal="center" vertical="center" wrapText="1"/>
    </xf>
    <xf numFmtId="0" fontId="49" fillId="5" borderId="79" xfId="7" applyFont="1" applyFill="1" applyBorder="1" applyAlignment="1">
      <alignment horizontal="center" vertical="center" wrapText="1"/>
    </xf>
    <xf numFmtId="0" fontId="49" fillId="5" borderId="7" xfId="7" applyFont="1" applyFill="1" applyBorder="1" applyAlignment="1">
      <alignment horizontal="center" vertical="center" wrapText="1"/>
    </xf>
    <xf numFmtId="0" fontId="47" fillId="0" borderId="57" xfId="7" applyFont="1" applyBorder="1" applyAlignment="1">
      <alignment horizontal="left" vertical="center" wrapText="1"/>
    </xf>
    <xf numFmtId="0" fontId="49" fillId="5" borderId="81" xfId="7" applyFont="1" applyFill="1" applyBorder="1" applyAlignment="1">
      <alignment horizontal="center" vertical="center" wrapText="1"/>
    </xf>
    <xf numFmtId="0" fontId="49" fillId="5" borderId="82" xfId="7" applyFont="1" applyFill="1" applyBorder="1" applyAlignment="1">
      <alignment horizontal="center" vertical="center" wrapText="1"/>
    </xf>
    <xf numFmtId="0" fontId="41" fillId="35" borderId="5" xfId="7" applyFont="1" applyFill="1" applyBorder="1" applyAlignment="1">
      <alignment horizontal="left" vertical="center" wrapText="1"/>
    </xf>
    <xf numFmtId="0" fontId="41" fillId="35" borderId="6" xfId="7" applyFont="1" applyFill="1" applyBorder="1" applyAlignment="1">
      <alignment horizontal="left" vertical="center" wrapText="1"/>
    </xf>
    <xf numFmtId="0" fontId="41" fillId="35" borderId="1" xfId="7" applyFont="1" applyFill="1" applyBorder="1" applyAlignment="1">
      <alignment horizontal="left" vertical="center" wrapText="1"/>
    </xf>
    <xf numFmtId="0" fontId="41" fillId="35" borderId="55" xfId="7" applyFont="1" applyFill="1" applyBorder="1" applyAlignment="1">
      <alignment horizontal="left" vertical="center" wrapText="1"/>
    </xf>
    <xf numFmtId="0" fontId="41" fillId="35" borderId="80" xfId="7" applyFont="1" applyFill="1" applyBorder="1" applyAlignment="1">
      <alignment horizontal="left" vertical="center" wrapText="1"/>
    </xf>
    <xf numFmtId="0" fontId="47" fillId="2" borderId="2" xfId="7" applyFont="1" applyFill="1" applyBorder="1" applyAlignment="1">
      <alignment horizontal="left" vertical="center" wrapText="1"/>
    </xf>
    <xf numFmtId="0" fontId="49" fillId="0" borderId="7" xfId="7" applyFont="1" applyBorder="1" applyAlignment="1">
      <alignment horizontal="center" vertical="center" wrapText="1"/>
    </xf>
    <xf numFmtId="0" fontId="47" fillId="2" borderId="87" xfId="7" applyFont="1" applyFill="1" applyBorder="1" applyAlignment="1">
      <alignment horizontal="left" vertical="center" wrapText="1"/>
    </xf>
    <xf numFmtId="0" fontId="47" fillId="0" borderId="36" xfId="7" applyFont="1" applyBorder="1" applyAlignment="1">
      <alignment horizontal="left" vertical="center" wrapText="1"/>
    </xf>
    <xf numFmtId="0" fontId="49" fillId="0" borderId="82" xfId="7" applyFont="1" applyBorder="1" applyAlignment="1">
      <alignment horizontal="center" vertical="center" wrapText="1"/>
    </xf>
    <xf numFmtId="0" fontId="47" fillId="0" borderId="33" xfId="7" applyFont="1" applyBorder="1" applyAlignment="1">
      <alignment horizontal="left" vertical="center" wrapText="1"/>
    </xf>
    <xf numFmtId="0" fontId="43" fillId="2" borderId="0" xfId="7" applyFont="1" applyFill="1"/>
    <xf numFmtId="0" fontId="42" fillId="0" borderId="4" xfId="7" applyFont="1" applyBorder="1"/>
    <xf numFmtId="0" fontId="42" fillId="0" borderId="81" xfId="7" applyFont="1" applyBorder="1"/>
    <xf numFmtId="0" fontId="46" fillId="2" borderId="80" xfId="7" applyFont="1" applyFill="1" applyBorder="1" applyAlignment="1">
      <alignment horizontal="center" vertical="center"/>
    </xf>
    <xf numFmtId="0" fontId="49" fillId="2" borderId="3" xfId="7" applyFont="1" applyFill="1" applyBorder="1" applyAlignment="1">
      <alignment horizontal="center" vertical="center" wrapText="1"/>
    </xf>
    <xf numFmtId="0" fontId="49" fillId="2" borderId="79" xfId="7" applyFont="1" applyFill="1" applyBorder="1" applyAlignment="1">
      <alignment horizontal="center" vertical="center" wrapText="1"/>
    </xf>
    <xf numFmtId="0" fontId="52" fillId="0" borderId="7" xfId="7" applyFont="1" applyBorder="1" applyAlignment="1">
      <alignment horizontal="left" vertical="center" wrapText="1"/>
    </xf>
    <xf numFmtId="0" fontId="52" fillId="0" borderId="2" xfId="7" applyFont="1" applyBorder="1" applyAlignment="1">
      <alignment horizontal="left" vertical="center" wrapText="1"/>
    </xf>
    <xf numFmtId="0" fontId="42" fillId="0" borderId="5" xfId="7" applyFont="1" applyBorder="1" applyAlignment="1">
      <alignment horizontal="center" vertical="center"/>
    </xf>
    <xf numFmtId="0" fontId="52" fillId="39" borderId="5" xfId="7" applyFont="1" applyFill="1" applyBorder="1" applyAlignment="1">
      <alignment horizontal="center" vertical="center"/>
    </xf>
    <xf numFmtId="0" fontId="52" fillId="0" borderId="5" xfId="7" applyFont="1" applyBorder="1" applyAlignment="1">
      <alignment horizontal="center" vertical="center"/>
    </xf>
    <xf numFmtId="0" fontId="52" fillId="0" borderId="1" xfId="7" applyFont="1" applyBorder="1" applyAlignment="1">
      <alignment horizontal="center" vertical="center"/>
    </xf>
    <xf numFmtId="0" fontId="53" fillId="0" borderId="55" xfId="7" applyFont="1" applyBorder="1" applyAlignment="1">
      <alignment horizontal="center" vertical="center"/>
    </xf>
    <xf numFmtId="0" fontId="53" fillId="14" borderId="80" xfId="7" applyFont="1" applyFill="1" applyBorder="1" applyAlignment="1">
      <alignment horizontal="center" vertical="center" wrapText="1"/>
    </xf>
    <xf numFmtId="0" fontId="52" fillId="38" borderId="5" xfId="7" applyFont="1" applyFill="1" applyBorder="1" applyAlignment="1">
      <alignment horizontal="center" vertical="center"/>
    </xf>
    <xf numFmtId="0" fontId="52" fillId="14" borderId="7" xfId="7" applyFont="1" applyFill="1" applyBorder="1" applyAlignment="1">
      <alignment horizontal="left" vertical="center" wrapText="1"/>
    </xf>
    <xf numFmtId="0" fontId="52" fillId="14" borderId="2" xfId="7" applyFont="1" applyFill="1" applyBorder="1" applyAlignment="1">
      <alignment horizontal="left" vertical="center" wrapText="1"/>
    </xf>
    <xf numFmtId="0" fontId="42" fillId="14" borderId="5" xfId="7" applyFont="1" applyFill="1" applyBorder="1" applyAlignment="1">
      <alignment horizontal="center" vertical="center"/>
    </xf>
    <xf numFmtId="0" fontId="47" fillId="14" borderId="7" xfId="7" applyFont="1" applyFill="1" applyBorder="1" applyAlignment="1">
      <alignment horizontal="left" vertical="center" wrapText="1"/>
    </xf>
    <xf numFmtId="0" fontId="47" fillId="14" borderId="2" xfId="7" applyFont="1" applyFill="1" applyBorder="1" applyAlignment="1">
      <alignment horizontal="left" vertical="center" wrapText="1"/>
    </xf>
    <xf numFmtId="0" fontId="45" fillId="14" borderId="5" xfId="7" applyFont="1" applyFill="1" applyBorder="1" applyAlignment="1">
      <alignment horizontal="center" vertical="center"/>
    </xf>
    <xf numFmtId="0" fontId="47" fillId="14" borderId="5" xfId="7" applyFont="1" applyFill="1" applyBorder="1" applyAlignment="1">
      <alignment horizontal="center" vertical="center"/>
    </xf>
    <xf numFmtId="0" fontId="47" fillId="14" borderId="1" xfId="7" applyFont="1" applyFill="1" applyBorder="1" applyAlignment="1">
      <alignment horizontal="center" vertical="center"/>
    </xf>
    <xf numFmtId="0" fontId="49" fillId="2" borderId="46" xfId="7" applyFont="1" applyFill="1" applyBorder="1" applyAlignment="1">
      <alignment horizontal="left" vertical="center" wrapText="1"/>
    </xf>
    <xf numFmtId="0" fontId="42" fillId="0" borderId="88" xfId="7" applyFont="1" applyBorder="1"/>
    <xf numFmtId="0" fontId="42" fillId="0" borderId="89" xfId="7" applyFont="1" applyBorder="1"/>
    <xf numFmtId="0" fontId="42" fillId="0" borderId="90" xfId="7" applyFont="1" applyBorder="1"/>
    <xf numFmtId="0" fontId="47" fillId="0" borderId="29" xfId="7" applyFont="1" applyBorder="1" applyAlignment="1">
      <alignment horizontal="left" vertical="center" wrapText="1"/>
    </xf>
    <xf numFmtId="0" fontId="47" fillId="0" borderId="91" xfId="7" applyFont="1" applyBorder="1" applyAlignment="1">
      <alignment horizontal="left" vertical="center" wrapText="1"/>
    </xf>
    <xf numFmtId="0" fontId="45" fillId="0" borderId="48" xfId="7" applyFont="1" applyBorder="1" applyAlignment="1">
      <alignment horizontal="center" vertical="center"/>
    </xf>
    <xf numFmtId="0" fontId="47" fillId="38" borderId="48" xfId="7" applyFont="1" applyFill="1" applyBorder="1" applyAlignment="1">
      <alignment horizontal="center" vertical="center"/>
    </xf>
    <xf numFmtId="0" fontId="47" fillId="39" borderId="48" xfId="7" applyFont="1" applyFill="1" applyBorder="1" applyAlignment="1">
      <alignment horizontal="center" vertical="center"/>
    </xf>
    <xf numFmtId="0" fontId="47" fillId="0" borderId="48" xfId="7" applyFont="1" applyBorder="1" applyAlignment="1">
      <alignment horizontal="center" vertical="center"/>
    </xf>
    <xf numFmtId="0" fontId="47" fillId="0" borderId="92" xfId="7" applyFont="1" applyBorder="1" applyAlignment="1">
      <alignment horizontal="center" vertical="center"/>
    </xf>
    <xf numFmtId="0" fontId="46" fillId="2" borderId="93" xfId="7" applyFont="1" applyFill="1" applyBorder="1" applyAlignment="1">
      <alignment horizontal="center" vertical="center"/>
    </xf>
    <xf numFmtId="0" fontId="46" fillId="2" borderId="94" xfId="7" applyFont="1" applyFill="1" applyBorder="1" applyAlignment="1">
      <alignment horizontal="center" vertical="center" wrapText="1"/>
    </xf>
    <xf numFmtId="0" fontId="43" fillId="0" borderId="0" xfId="7" applyFont="1" applyAlignment="1">
      <alignment horizontal="center" vertical="center"/>
    </xf>
    <xf numFmtId="0" fontId="43" fillId="0" borderId="0" xfId="7" applyFont="1" applyAlignment="1">
      <alignment horizontal="left" vertical="center"/>
    </xf>
    <xf numFmtId="0" fontId="54" fillId="0" borderId="0" xfId="7" applyFont="1" applyAlignment="1">
      <alignment horizontal="center" vertical="center"/>
    </xf>
  </cellXfs>
  <cellStyles count="8">
    <cellStyle name="Hipervínculo" xfId="2" builtinId="8"/>
    <cellStyle name="Millares 2" xfId="6" xr:uid="{8E083CC9-8E6E-4BEC-9733-B0A8D2E2657A}"/>
    <cellStyle name="Moneda" xfId="3" builtinId="4"/>
    <cellStyle name="Moneda 2" xfId="4" xr:uid="{CAAE6FB4-58AF-4777-87B5-2897D7FE1350}"/>
    <cellStyle name="Normal" xfId="0" builtinId="0"/>
    <cellStyle name="Normal 2" xfId="1" xr:uid="{00000000-0005-0000-0000-000002000000}"/>
    <cellStyle name="Normal 3" xfId="5" xr:uid="{EFF37CC7-EA4F-494B-AD2D-CEBC6539B935}"/>
    <cellStyle name="Normal 4" xfId="7" xr:uid="{22D1A389-C7AC-48C5-8144-B56F11A091C6}"/>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vertAlign val="baseline"/>
        <sz val="10"/>
      </font>
    </dxf>
    <dxf>
      <font>
        <strike val="0"/>
        <outline val="0"/>
        <shadow val="0"/>
        <vertAlign val="baseline"/>
        <sz val="10"/>
      </font>
      <fill>
        <patternFill>
          <bgColor rgb="FFABDB77"/>
        </patternFill>
      </fill>
    </dxf>
    <dxf>
      <font>
        <strike val="0"/>
        <outline val="0"/>
        <shadow val="0"/>
        <vertAlign val="baseline"/>
        <sz val="10"/>
      </font>
    </dxf>
    <dxf>
      <font>
        <strike val="0"/>
        <outline val="0"/>
        <shadow val="0"/>
        <vertAlign val="baseline"/>
        <sz val="10"/>
      </font>
    </dxf>
    <dxf>
      <font>
        <strike val="0"/>
        <outline val="0"/>
        <shadow val="0"/>
        <vertAlign val="baseline"/>
        <sz val="10"/>
      </font>
    </dxf>
    <dxf>
      <fill>
        <patternFill patternType="solid">
          <fgColor rgb="FFD9E2F3"/>
          <bgColor rgb="FFD9E2F3"/>
        </patternFill>
      </fill>
    </dxf>
    <dxf>
      <fill>
        <patternFill patternType="solid">
          <fgColor rgb="FFD9E2F3"/>
          <bgColor rgb="FFD9E2F3"/>
        </patternFill>
      </fill>
    </dxf>
    <dxf>
      <fill>
        <patternFill patternType="solid">
          <fgColor theme="0"/>
          <bgColor theme="0"/>
        </patternFill>
      </fill>
    </dxf>
    <dxf>
      <fill>
        <patternFill patternType="solid">
          <fgColor rgb="FFD9E2F3"/>
          <bgColor rgb="FFD9E2F3"/>
        </patternFill>
      </fill>
    </dxf>
    <dxf>
      <fill>
        <patternFill patternType="solid">
          <fgColor rgb="FFD9E2F3"/>
          <bgColor rgb="FFD9E2F3"/>
        </patternFill>
      </fill>
    </dxf>
    <dxf>
      <fill>
        <patternFill patternType="solid">
          <fgColor theme="0"/>
          <bgColor theme="0"/>
        </patternFill>
      </fill>
    </dxf>
    <dxf>
      <fill>
        <patternFill patternType="solid">
          <fgColor rgb="FFD9E2F3"/>
          <bgColor rgb="FFD9E2F3"/>
        </patternFill>
      </fill>
    </dxf>
    <dxf>
      <fill>
        <patternFill patternType="solid">
          <fgColor rgb="FFD9E2F3"/>
          <bgColor rgb="FFD9E2F3"/>
        </patternFill>
      </fill>
    </dxf>
    <dxf>
      <fill>
        <patternFill patternType="solid">
          <fgColor theme="0"/>
          <bgColor theme="0"/>
        </patternFill>
      </fill>
    </dxf>
  </dxfs>
  <tableStyles count="3">
    <tableStyle name="Programa-style" pivot="0" count="3" xr9:uid="{00000000-0011-0000-FFFF-FFFF00000000}">
      <tableStyleElement type="headerRow" dxfId="16"/>
      <tableStyleElement type="firstRowStripe" dxfId="15"/>
      <tableStyleElement type="secondRowStripe" dxfId="14"/>
    </tableStyle>
    <tableStyle name="Programa-style 2" pivot="0" count="3" xr9:uid="{00000000-0011-0000-FFFF-FFFF01000000}">
      <tableStyleElement type="headerRow" dxfId="13"/>
      <tableStyleElement type="firstRowStripe" dxfId="12"/>
      <tableStyleElement type="secondRowStripe" dxfId="11"/>
    </tableStyle>
    <tableStyle name="Programa-style 3" pivot="0" count="3" xr9:uid="{00000000-0011-0000-FFFF-FFFF02000000}">
      <tableStyleElement type="headerRow" dxfId="10"/>
      <tableStyleElement type="firstRowStripe" dxfId="9"/>
      <tableStyleElement type="secondRowStripe" dxfId="8"/>
    </tableStyle>
  </tableStyles>
  <colors>
    <mruColors>
      <color rgb="FFABDB77"/>
      <color rgb="FFD0EB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474133</xdr:colOff>
      <xdr:row>0</xdr:row>
      <xdr:rowOff>80434</xdr:rowOff>
    </xdr:from>
    <xdr:ext cx="1524000" cy="695325"/>
    <xdr:pic>
      <xdr:nvPicPr>
        <xdr:cNvPr id="2" name="image1.png">
          <a:extLst>
            <a:ext uri="{FF2B5EF4-FFF2-40B4-BE49-F238E27FC236}">
              <a16:creationId xmlns:a16="http://schemas.microsoft.com/office/drawing/2014/main" id="{C68584EC-B285-4831-97ED-2FFFCD1F4B0B}"/>
            </a:ext>
          </a:extLst>
        </xdr:cNvPr>
        <xdr:cNvPicPr preferRelativeResize="0"/>
      </xdr:nvPicPr>
      <xdr:blipFill>
        <a:blip xmlns:r="http://schemas.openxmlformats.org/officeDocument/2006/relationships" r:embed="rId1" cstate="print"/>
        <a:stretch>
          <a:fillRect/>
        </a:stretch>
      </xdr:blipFill>
      <xdr:spPr>
        <a:xfrm>
          <a:off x="474133" y="80434"/>
          <a:ext cx="1524000" cy="69532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juandlopez/Downloads/CATALOGO_DE_PRODUCTOS%2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Vfileserver02/bases/BPI/CAPACITACI&#211;N%20SPIIP/2020/Cat&#225;logo%20de%20Productos/CAT&#193;LOGOS%20ANTERIORES/CARGADOS%20MGA/CAT&#193;LOGO%20MGA%2001_%20270120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rchivos\Documentos\MADS\2024\FORMULACION%20PAC\INSUMOS%20FORMULACION\PIP\CATALOGO_DE_PRODUCTOS_0202202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JuanCarlosJr/Desktop/EJECUCI&#211;N_DICIEMBRE_202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ARPLA04\Archivos%20Planeacion%20(OK)\2020\Informe%20de%20Gestion%20con%20corte%2031-Diciembre-2020\6.%20Formatos%20SINA%20-%20PAI%202020-2023%20seguimiento%20PAC%20(V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ticminambiente-my.sharepoint.com/Carlos%20A/Documents/PC%20CARLOS/CORPAMAG/SEGUIMIENTO%20METAS%20PAI%202020-2023/INFORMES%20SEGUIMIENTO%202020%20PAI/SOPORTES%20INFORMES%20SS%202020/MATRIZ%20DE%20SEGUIMIENTO%20II%20SEM%202020%20neyl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Carlos%20A/Documents/PC%20CARLOS/CORPAMAG/SEGUIMIENTO%20METAS%20PAI%202020-2023/INFORMES%20SEGUIMIENTO%202020%20PAI/SOPORTES%20INFORMES%20SS%202020/MATRIZ%20DE%20SEGUIMIENTO%20II%20SEM%202020%20neyla.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josep/OneDrive/Desktop/nuevo%20todo%20seguimiento%20al%20plan/inforem%202025%20-%201/para%20enviar/matrices/CORPOCESAR_AVANCEFINANCIERO_Final_202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ticminambiente-my.sharepoint.com/archivos/Documentos/MADS/2022/INFORMES%20DE%20GESTI&#211;N%202021/5_CORPAMAG/Ajustes%20Gestion_10052022/MATRIZ%20DE%20SEGUIMIENTO%20II%20SEM%202021%20CORPAMAG-MADS%20CARdinal%2004052022.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josep\OneDrive\Desktop\nuevo%20todo%20seguimiento%20al%20plan\inforem%202025%20-%201\para%20enviar\INFORME_EJECUCION_PRESUPUESTAL_25062025_ult.xlsx" TargetMode="External"/><Relationship Id="rId1" Type="http://schemas.openxmlformats.org/officeDocument/2006/relationships/externalLinkPath" Target="/Users/josep/OneDrive/Desktop/nuevo%20todo%20seguimiento%20al%20plan/inforem%202025%20-%201/para%20enviar/INFORME_EJECUCION_PRESUPUESTAL_25062025_ult.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ticminambiente-my.sharepoint.com/archivos/Documentos/MADS/2023/INFORMES%202022/2_CORPAMAG/TERCER%20AJUSTE%20INFORME_29052023/MATRIZ%20DE%20SEGUIMIENTO%20II%20SEM%202022%20CORPAMAG%2029%20MAY%202023%20FINAL.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josep/OneDrive/Desktop/Nuevo%20acceso%20directo.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Nueva%20carpeta\Nuevo%20acceso%20directo.lnk.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ttps://d.docs.live.net/fb6adac803f13d07/Documentos/1.CORPOCESAR/Informe%20final%20de%20a&#241;o/Matriz_de_acciones_operativas_con_actividades-Correciones.xlsx" TargetMode="External"/><Relationship Id="rId1" Type="http://schemas.openxmlformats.org/officeDocument/2006/relationships/externalLinkPath" Target="https://d.docs.live.net/fb6adac803f13d07/Documentos/1.CORPOCESAR/Informe%20final%20de%20a&#241;o/Matriz_de_acciones_operativas_con_actividades-Correciones.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file:///C:\Users\josep\OneDrive\Desktop\Matriz_de_acciones_operativas_con_actividades-2025ok1esteok.xlsx" TargetMode="External"/><Relationship Id="rId1" Type="http://schemas.openxmlformats.org/officeDocument/2006/relationships/externalLinkPath" Target="/Users/josep/OneDrive/Desktop/Matriz_de_acciones_operativas_con_actividades-2025ok1este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ORES,PROGRAMAS Y SUBPROGRAM"/>
      <sheetName val="SECTORES"/>
      <sheetName val="CATÁLOGO_DE PRODUCTOS"/>
      <sheetName val="CATÁLOGO DE PRODUCTOS"/>
      <sheetName val="Sectores-Programas-Subprogramas"/>
    </sheetNames>
    <sheetDataSet>
      <sheetData sheetId="0">
        <row r="9">
          <cell r="C9" t="str">
            <v>0101</v>
          </cell>
        </row>
      </sheetData>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ores y Programa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ores"/>
      <sheetName val="Sectores-Programas-Subprogramas"/>
      <sheetName val="Catálogo de Productos"/>
      <sheetName val="CATALOGO_DE_PRODUCTOS_0202202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E_PCT"/>
    </sheetNames>
    <sheetDataSet>
      <sheetData sheetId="0">
        <row r="75">
          <cell r="F75">
            <v>6275990</v>
          </cell>
          <cell r="H75">
            <v>6275990</v>
          </cell>
          <cell r="I75">
            <v>6275990</v>
          </cell>
          <cell r="J75">
            <v>6275990</v>
          </cell>
        </row>
        <row r="76">
          <cell r="F76">
            <v>5000000</v>
          </cell>
          <cell r="H76">
            <v>5000000</v>
          </cell>
          <cell r="I76">
            <v>5000000</v>
          </cell>
          <cell r="J76">
            <v>5000000</v>
          </cell>
        </row>
        <row r="77">
          <cell r="F77">
            <v>10000000</v>
          </cell>
          <cell r="H77">
            <v>10000000</v>
          </cell>
          <cell r="I77">
            <v>10000000</v>
          </cell>
          <cell r="J77">
            <v>10000000</v>
          </cell>
        </row>
        <row r="78">
          <cell r="F78">
            <v>15000000</v>
          </cell>
          <cell r="H78">
            <v>15000000</v>
          </cell>
          <cell r="I78">
            <v>15000000</v>
          </cell>
          <cell r="J78">
            <v>15000000</v>
          </cell>
        </row>
        <row r="79">
          <cell r="F79">
            <v>20000000</v>
          </cell>
          <cell r="H79">
            <v>20000000</v>
          </cell>
          <cell r="I79">
            <v>20000000</v>
          </cell>
          <cell r="J79">
            <v>20000000</v>
          </cell>
        </row>
        <row r="80">
          <cell r="F80">
            <v>27483840</v>
          </cell>
          <cell r="H80">
            <v>27483840</v>
          </cell>
          <cell r="I80">
            <v>27483840</v>
          </cell>
          <cell r="J80">
            <v>25422552</v>
          </cell>
        </row>
        <row r="85">
          <cell r="F85">
            <v>9863513</v>
          </cell>
          <cell r="H85">
            <v>9863513</v>
          </cell>
          <cell r="I85">
            <v>9863513</v>
          </cell>
          <cell r="J85">
            <v>9863513</v>
          </cell>
        </row>
        <row r="86">
          <cell r="F86">
            <v>5000000</v>
          </cell>
          <cell r="H86">
            <v>5000000</v>
          </cell>
          <cell r="I86">
            <v>5000000</v>
          </cell>
          <cell r="J86">
            <v>5000000</v>
          </cell>
        </row>
        <row r="87">
          <cell r="F87">
            <v>10000000</v>
          </cell>
          <cell r="H87">
            <v>10000000</v>
          </cell>
          <cell r="I87">
            <v>10000000</v>
          </cell>
          <cell r="J87">
            <v>10000000</v>
          </cell>
        </row>
        <row r="88">
          <cell r="F88">
            <v>15000000</v>
          </cell>
          <cell r="H88">
            <v>15000000</v>
          </cell>
          <cell r="I88">
            <v>15000000</v>
          </cell>
          <cell r="J88">
            <v>15000000</v>
          </cell>
        </row>
        <row r="89">
          <cell r="F89">
            <v>76182120</v>
          </cell>
          <cell r="H89">
            <v>76182120</v>
          </cell>
          <cell r="I89">
            <v>76182120</v>
          </cell>
          <cell r="J89">
            <v>76182120</v>
          </cell>
        </row>
        <row r="90">
          <cell r="F90">
            <v>64902600</v>
          </cell>
          <cell r="H90">
            <v>63502740</v>
          </cell>
          <cell r="I90">
            <v>63502740</v>
          </cell>
          <cell r="J90">
            <v>63502740</v>
          </cell>
        </row>
        <row r="95">
          <cell r="F95">
            <v>19545468</v>
          </cell>
          <cell r="H95">
            <v>19439748</v>
          </cell>
          <cell r="I95">
            <v>19439748</v>
          </cell>
          <cell r="J95">
            <v>19439748</v>
          </cell>
        </row>
        <row r="96">
          <cell r="F96">
            <v>20000000</v>
          </cell>
          <cell r="H96">
            <v>20000000</v>
          </cell>
          <cell r="I96">
            <v>20000000</v>
          </cell>
          <cell r="J96">
            <v>20000000</v>
          </cell>
        </row>
        <row r="97">
          <cell r="F97">
            <v>31261640</v>
          </cell>
          <cell r="H97">
            <v>31261640</v>
          </cell>
          <cell r="I97">
            <v>31261640</v>
          </cell>
          <cell r="J97">
            <v>31261640</v>
          </cell>
        </row>
        <row r="98">
          <cell r="F98">
            <v>56844040</v>
          </cell>
          <cell r="H98">
            <v>56844040</v>
          </cell>
          <cell r="I98">
            <v>56844040</v>
          </cell>
          <cell r="J98">
            <v>56844040</v>
          </cell>
        </row>
        <row r="99">
          <cell r="F99">
            <v>257424285</v>
          </cell>
          <cell r="H99">
            <v>257424285</v>
          </cell>
          <cell r="I99">
            <v>257424285</v>
          </cell>
          <cell r="J99">
            <v>257424285</v>
          </cell>
        </row>
        <row r="100">
          <cell r="F100">
            <v>104813000</v>
          </cell>
          <cell r="H100">
            <v>104813000</v>
          </cell>
          <cell r="I100">
            <v>104813000</v>
          </cell>
          <cell r="J100">
            <v>104813000</v>
          </cell>
        </row>
        <row r="105">
          <cell r="F105">
            <v>72006001</v>
          </cell>
          <cell r="H105">
            <v>71533696</v>
          </cell>
          <cell r="I105">
            <v>71533696</v>
          </cell>
          <cell r="J105">
            <v>71533696</v>
          </cell>
        </row>
        <row r="106">
          <cell r="F106">
            <v>94897200</v>
          </cell>
          <cell r="H106">
            <v>94897200</v>
          </cell>
          <cell r="I106">
            <v>94897200</v>
          </cell>
          <cell r="J106">
            <v>94897200</v>
          </cell>
        </row>
        <row r="107">
          <cell r="F107">
            <v>1076567054.1600001</v>
          </cell>
          <cell r="H107">
            <v>1076567054.1600001</v>
          </cell>
          <cell r="I107">
            <v>1071587352.35</v>
          </cell>
          <cell r="J107">
            <v>1071587352.35</v>
          </cell>
        </row>
        <row r="299">
          <cell r="F299">
            <v>10000000</v>
          </cell>
          <cell r="H299">
            <v>9799100</v>
          </cell>
          <cell r="I299">
            <v>9799100</v>
          </cell>
        </row>
        <row r="301">
          <cell r="F301">
            <v>126248895</v>
          </cell>
          <cell r="H301">
            <v>120000000</v>
          </cell>
          <cell r="I301">
            <v>120000000</v>
          </cell>
        </row>
        <row r="302">
          <cell r="F302">
            <v>290000000</v>
          </cell>
          <cell r="H302">
            <v>290000000</v>
          </cell>
          <cell r="I302">
            <v>15000000</v>
          </cell>
          <cell r="J302">
            <v>0</v>
          </cell>
        </row>
        <row r="326">
          <cell r="F326">
            <v>20000000</v>
          </cell>
          <cell r="H326">
            <v>19665419</v>
          </cell>
          <cell r="J326">
            <v>19665419</v>
          </cell>
        </row>
        <row r="328">
          <cell r="F328">
            <v>80000000</v>
          </cell>
          <cell r="H328">
            <v>77366666</v>
          </cell>
          <cell r="J328">
            <v>77366666</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Hoja1"/>
      <sheetName val="Anexo 2 Protocolo Inf Gestión"/>
      <sheetName val="PROTOCOLO INGRESOS"/>
      <sheetName val="Informe Ingresos"/>
      <sheetName val="PROTOCOLO GASTOS"/>
      <sheetName val="informe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33">
          <cell r="D33" t="str">
            <v>SI APLICA</v>
          </cell>
        </row>
        <row r="34">
          <cell r="D34" t="str">
            <v>NO APLICA</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Informe Ingreso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Informe Ingresos."/>
    </sheetNames>
    <sheetDataSet>
      <sheetData sheetId="0"/>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5.1 Ingresos"/>
      <sheetName val="Protocolo Ingresos"/>
      <sheetName val="Anexo 5.2. informe Gastos"/>
      <sheetName val="Protocolo_Gastos"/>
      <sheetName val="Anexo 5.2 A"/>
      <sheetName val="REVISIÓN"/>
      <sheetName val="Protocolo_Gastos Inversión"/>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sheetData sheetId="2"/>
      <sheetData sheetId="3"/>
      <sheetData sheetId="4"/>
      <sheetData sheetId="5"/>
      <sheetData sheetId="6"/>
      <sheetData sheetId="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Anexo 1 Matriz Inf Gestión CARd"/>
      <sheetName val="Anexo 2 Protocolo Inf Gestión"/>
      <sheetName val="Hoja1"/>
      <sheetName val="Informe Ingresos"/>
      <sheetName val="PROTOCOLO INGRESOS"/>
      <sheetName val="informe Gastos"/>
      <sheetName val="PROTOCOLO GASTOS"/>
      <sheetName val="Anexo 5.2A"/>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Generales"/>
      <sheetName val="Protocolo Diligenciar Ingresos"/>
      <sheetName val="Protocolo_Diligenciar_Gastos"/>
      <sheetName val="Protocolo_Gastos Inversión"/>
      <sheetName val="Informe INGRESOS"/>
      <sheetName val="Informe del Gasto"/>
      <sheetName val="Detallado del Gasto"/>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refreshError="1"/>
      <sheetData sheetId="5" refreshError="1"/>
      <sheetData sheetId="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CARd"/>
      <sheetName val="Anexo 2 Protocolo Inf Gestión"/>
      <sheetName val="Anexo 5.1 INGRESOS"/>
      <sheetName val="Anexo 5.2. informe Gastos"/>
      <sheetName val="Anexo 5.2A_REV"/>
      <sheetName val="Hoja1"/>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MesPptoCDP.rpt"/>
    </sheetNames>
    <sheetDataSet>
      <sheetData sheetId="0">
        <row r="258">
          <cell r="F258">
            <v>9881201</v>
          </cell>
        </row>
        <row r="259">
          <cell r="F259">
            <v>10000000</v>
          </cell>
        </row>
        <row r="260">
          <cell r="F260">
            <v>10000000</v>
          </cell>
        </row>
        <row r="261">
          <cell r="F261">
            <v>0</v>
          </cell>
        </row>
        <row r="262">
          <cell r="F262">
            <v>67483840</v>
          </cell>
        </row>
        <row r="263">
          <cell r="F263">
            <v>58026240</v>
          </cell>
        </row>
        <row r="268">
          <cell r="F268">
            <v>4582195</v>
          </cell>
        </row>
        <row r="269">
          <cell r="F269">
            <v>10000000</v>
          </cell>
        </row>
        <row r="270">
          <cell r="F270">
            <v>80000000</v>
          </cell>
        </row>
        <row r="517">
          <cell r="Q517">
            <v>0</v>
          </cell>
          <cell r="R517">
            <v>0</v>
          </cell>
          <cell r="S517">
            <v>0</v>
          </cell>
        </row>
        <row r="518">
          <cell r="F518">
            <v>8000000</v>
          </cell>
        </row>
        <row r="519">
          <cell r="F519">
            <v>8241510</v>
          </cell>
        </row>
        <row r="520">
          <cell r="F520">
            <v>20000000</v>
          </cell>
        </row>
        <row r="521">
          <cell r="F521">
            <v>60731033.299999997</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MesPptoCDP.rpt"/>
    </sheetNames>
    <sheetDataSet>
      <sheetData sheetId="0" refreshError="1">
        <row r="526">
          <cell r="P526">
            <v>1833358688.1600001</v>
          </cell>
        </row>
        <row r="534">
          <cell r="P534">
            <v>270575796</v>
          </cell>
        </row>
        <row r="535">
          <cell r="P535">
            <v>228575796</v>
          </cell>
          <cell r="Q535">
            <v>226971401</v>
          </cell>
          <cell r="R535">
            <v>226971401</v>
          </cell>
          <cell r="S535">
            <v>225861463</v>
          </cell>
        </row>
        <row r="536">
          <cell r="P536">
            <v>40000000</v>
          </cell>
          <cell r="Q536">
            <v>36385265</v>
          </cell>
          <cell r="R536">
            <v>36385265</v>
          </cell>
          <cell r="S536">
            <v>36385265</v>
          </cell>
        </row>
        <row r="537">
          <cell r="P537">
            <v>2000000</v>
          </cell>
          <cell r="Q537">
            <v>0</v>
          </cell>
          <cell r="R537">
            <v>0</v>
          </cell>
          <cell r="S537">
            <v>0</v>
          </cell>
        </row>
        <row r="544">
          <cell r="P544">
            <v>216359936</v>
          </cell>
        </row>
        <row r="553">
          <cell r="P553">
            <v>1773441258.1299999</v>
          </cell>
        </row>
        <row r="576">
          <cell r="P576">
            <v>250000000</v>
          </cell>
          <cell r="Q576">
            <v>249193180</v>
          </cell>
          <cell r="R576">
            <v>249193180</v>
          </cell>
          <cell r="S576">
            <v>249193180</v>
          </cell>
        </row>
        <row r="577">
          <cell r="P577">
            <v>180000000</v>
          </cell>
          <cell r="Q577">
            <v>180000000</v>
          </cell>
          <cell r="R577">
            <v>180000000</v>
          </cell>
          <cell r="S577">
            <v>177948611</v>
          </cell>
        </row>
        <row r="586">
          <cell r="P586">
            <v>822307786</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Generales"/>
      <sheetName val="MATRIZ DE ACCIONES OPERATIVAS"/>
      <sheetName val="Hoja2"/>
      <sheetName val="Relacion IMG"/>
      <sheetName val="Hoja1"/>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sheetData sheetId="2"/>
      <sheetData sheetId="3"/>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RIZ DE ACCIONES OPERATIVAS"/>
    </sheetNames>
    <sheetDataSet>
      <sheetData sheetId="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4:C14" headerRowDxfId="7" dataDxfId="6" totalsRowDxfId="5">
  <tableColumns count="2">
    <tableColumn id="1" xr3:uid="{00000000-0010-0000-0000-000001000000}" name="id" dataDxfId="4"/>
    <tableColumn id="2" xr3:uid="{00000000-0010-0000-0000-000002000000}" name="SECTOR AMBIENTE" dataDxfId="3"/>
  </tableColumns>
  <tableStyleInfo name="Programa-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5.bin"/><Relationship Id="rId1" Type="http://schemas.openxmlformats.org/officeDocument/2006/relationships/hyperlink" Target="https://mgaayuda.dnp.gov.co/" TargetMode="External"/><Relationship Id="rId5" Type="http://schemas.openxmlformats.org/officeDocument/2006/relationships/comments" Target="../comments5.xml"/><Relationship Id="rId4" Type="http://schemas.openxmlformats.org/officeDocument/2006/relationships/table" Target="../tables/table1.xml"/></Relationships>
</file>

<file path=xl/worksheets/_rels/sheet6.xml.rels><?xml version="1.0" encoding="UTF-8" standalone="yes"?>
<Relationships xmlns="http://schemas.openxmlformats.org/package/2006/relationships"><Relationship Id="rId8" Type="http://schemas.openxmlformats.org/officeDocument/2006/relationships/hyperlink" Target="https://www.dane.gov.co/files/indicadores-ods/fichas/Ficha-tecnica-ODS-15.pdf" TargetMode="External"/><Relationship Id="rId3" Type="http://schemas.openxmlformats.org/officeDocument/2006/relationships/hyperlink" Target="https://www.dane.gov.co/files/indicadores-ods/fichas/Ficha-tecnica-ODS-11.pdf" TargetMode="External"/><Relationship Id="rId7" Type="http://schemas.openxmlformats.org/officeDocument/2006/relationships/hyperlink" Target="https://www.dane.gov.co/files/indicadores-ods/fichas/Ficha-tecnica-ODS-14.pdf" TargetMode="External"/><Relationship Id="rId2" Type="http://schemas.openxmlformats.org/officeDocument/2006/relationships/hyperlink" Target="https://www.dane.gov.co/files/indicadores-ods/fichas/Ficha-tecnica-ODS-08.pdf" TargetMode="External"/><Relationship Id="rId1" Type="http://schemas.openxmlformats.org/officeDocument/2006/relationships/hyperlink" Target="https://www.dane.gov.co/files/indicadores-ods/fichas/Ficha-tecnica-ODS-03.pdf" TargetMode="External"/><Relationship Id="rId6" Type="http://schemas.openxmlformats.org/officeDocument/2006/relationships/hyperlink" Target="https://www.dane.gov.co/files/indicadores-ods/fichas/Ficha-tecnica-ODS-12.pdf" TargetMode="External"/><Relationship Id="rId11" Type="http://schemas.openxmlformats.org/officeDocument/2006/relationships/comments" Target="../comments6.xml"/><Relationship Id="rId5" Type="http://schemas.openxmlformats.org/officeDocument/2006/relationships/hyperlink" Target="https://www.dane.gov.co/files/indicadores-ods/fichas/Ficha-tecnica-ODS-13.pdf" TargetMode="External"/><Relationship Id="rId10" Type="http://schemas.openxmlformats.org/officeDocument/2006/relationships/vmlDrawing" Target="../drawings/vmlDrawing6.vml"/><Relationship Id="rId4" Type="http://schemas.openxmlformats.org/officeDocument/2006/relationships/hyperlink" Target="https://www.dane.gov.co/files/indicadores-ods/fichas/Ficha-tecnica-ODS-06.pdf" TargetMode="External"/><Relationship Id="rId9"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0990D-E8C1-49BC-9205-E110E2491AEC}">
  <dimension ref="A1:EB115"/>
  <sheetViews>
    <sheetView zoomScale="95" zoomScaleNormal="60" workbookViewId="0">
      <pane xSplit="1" ySplit="2" topLeftCell="DT96" activePane="bottomRight" state="frozen"/>
      <selection pane="topRight" activeCell="R7" sqref="R7"/>
      <selection pane="bottomLeft" activeCell="R7" sqref="R7"/>
      <selection pane="bottomRight" activeCell="DZ6" sqref="DZ6"/>
    </sheetView>
  </sheetViews>
  <sheetFormatPr baseColWidth="10" defaultColWidth="18" defaultRowHeight="46.5" customHeight="1" x14ac:dyDescent="0.2"/>
  <cols>
    <col min="1" max="1" width="31.5" style="288" customWidth="1"/>
    <col min="2" max="2" width="29" style="335" customWidth="1"/>
    <col min="3" max="3" width="28.5" style="335" customWidth="1"/>
    <col min="4" max="4" width="28.75" style="335" customWidth="1"/>
    <col min="5" max="5" width="27.625" style="335" customWidth="1"/>
    <col min="6" max="6" width="26.375" style="335" customWidth="1"/>
    <col min="7" max="7" width="28.375" style="335" customWidth="1"/>
    <col min="8" max="8" width="25.375" style="335" customWidth="1"/>
    <col min="9" max="9" width="22.875" style="335" customWidth="1"/>
    <col min="10" max="10" width="22.375" style="335" customWidth="1"/>
    <col min="11" max="11" width="27.125" style="335" customWidth="1"/>
    <col min="12" max="12" width="23.875" style="335" customWidth="1"/>
    <col min="13" max="13" width="20.875" style="335" customWidth="1"/>
    <col min="14" max="14" width="26" style="335" customWidth="1"/>
    <col min="15" max="15" width="21.25" style="335" customWidth="1"/>
    <col min="16" max="16" width="24.25" style="335" customWidth="1"/>
    <col min="17" max="17" width="21.625" style="335" customWidth="1"/>
    <col min="18" max="18" width="18" style="335" customWidth="1"/>
    <col min="19" max="19" width="22.375" style="335" customWidth="1"/>
    <col min="20" max="20" width="23.125" style="335" customWidth="1"/>
    <col min="21" max="21" width="21.375" style="335" customWidth="1"/>
    <col min="22" max="46" width="18" style="335" customWidth="1"/>
    <col min="47" max="48" width="18" style="336" customWidth="1"/>
    <col min="49" max="49" width="18" style="335" customWidth="1"/>
    <col min="50" max="50" width="18" style="336" customWidth="1"/>
    <col min="51" max="51" width="20.25" style="336" customWidth="1"/>
    <col min="52" max="52" width="18" style="336" customWidth="1"/>
    <col min="53" max="54" width="18" style="335" customWidth="1"/>
    <col min="55" max="55" width="27.25" style="335" customWidth="1"/>
    <col min="56" max="56" width="28.125" style="335" customWidth="1"/>
    <col min="57" max="57" width="23.625" style="335" customWidth="1"/>
    <col min="58" max="59" width="22.875" style="335" customWidth="1"/>
    <col min="60" max="60" width="23.125" style="335" customWidth="1"/>
    <col min="61" max="61" width="25.625" style="335" customWidth="1"/>
    <col min="62" max="62" width="18" style="335" customWidth="1"/>
    <col min="63" max="63" width="20.625" style="335" customWidth="1"/>
    <col min="64" max="64" width="22.5" style="335" customWidth="1"/>
    <col min="65" max="65" width="20.625" style="335" customWidth="1"/>
    <col min="66" max="66" width="18" style="335" customWidth="1"/>
    <col min="67" max="67" width="22.5" style="335" customWidth="1"/>
    <col min="68" max="68" width="20.875" style="335" customWidth="1"/>
    <col min="69" max="69" width="21.625" style="335" customWidth="1"/>
    <col min="70" max="70" width="22.375" style="335" customWidth="1"/>
    <col min="71" max="71" width="23.875" style="335" customWidth="1"/>
    <col min="72" max="72" width="22.5" style="335" customWidth="1"/>
    <col min="73" max="73" width="21.375" style="335" customWidth="1"/>
    <col min="74" max="74" width="18" style="335" customWidth="1"/>
    <col min="75" max="75" width="26.875" style="335" customWidth="1"/>
    <col min="76" max="76" width="25.75" style="335" customWidth="1"/>
    <col min="77" max="77" width="21.75" style="335" customWidth="1"/>
    <col min="78" max="78" width="18" style="335" customWidth="1"/>
    <col min="79" max="79" width="23.5" style="335" customWidth="1"/>
    <col min="80" max="80" width="21.375" style="335" customWidth="1"/>
    <col min="81" max="81" width="20.875" style="335" customWidth="1"/>
    <col min="82" max="82" width="18" style="335" customWidth="1"/>
    <col min="83" max="83" width="25.25" style="335" customWidth="1"/>
    <col min="84" max="84" width="23.625" style="335" customWidth="1"/>
    <col min="85" max="85" width="22.875" style="335" customWidth="1"/>
    <col min="86" max="86" width="18" style="335" customWidth="1"/>
    <col min="87" max="87" width="21" style="335" customWidth="1"/>
    <col min="88" max="88" width="27.125" style="335" customWidth="1"/>
    <col min="89" max="89" width="20.25" style="335" customWidth="1"/>
    <col min="90" max="122" width="21.25" style="335" customWidth="1"/>
    <col min="123" max="123" width="24.25" style="335" customWidth="1"/>
    <col min="124" max="124" width="21" style="335" customWidth="1"/>
    <col min="125" max="125" width="20.625" style="335" customWidth="1"/>
    <col min="126" max="126" width="21.5" style="335" customWidth="1"/>
    <col min="127" max="127" width="26.25" style="335" customWidth="1"/>
    <col min="128" max="128" width="28" style="335" customWidth="1"/>
    <col min="129" max="129" width="28.5" style="335" customWidth="1"/>
    <col min="130" max="130" width="23.625" style="335" customWidth="1"/>
    <col min="131" max="131" width="31.875" style="288" customWidth="1"/>
    <col min="132" max="132" width="0" style="288" hidden="1" customWidth="1"/>
    <col min="133" max="16384" width="18" style="288"/>
  </cols>
  <sheetData>
    <row r="1" spans="1:132" s="275" customFormat="1" ht="79.5" customHeight="1" x14ac:dyDescent="0.2">
      <c r="A1" s="268" t="s">
        <v>1942</v>
      </c>
      <c r="B1" s="269" t="s">
        <v>1943</v>
      </c>
      <c r="C1" s="270" t="s">
        <v>1944</v>
      </c>
      <c r="D1" s="270"/>
      <c r="E1" s="270"/>
      <c r="F1" s="270"/>
      <c r="G1" s="271" t="s">
        <v>1945</v>
      </c>
      <c r="H1" s="272"/>
      <c r="I1" s="272"/>
      <c r="J1" s="273"/>
      <c r="K1" s="271" t="s">
        <v>1946</v>
      </c>
      <c r="L1" s="272"/>
      <c r="M1" s="272"/>
      <c r="N1" s="273"/>
      <c r="O1" s="271" t="s">
        <v>1947</v>
      </c>
      <c r="P1" s="272"/>
      <c r="Q1" s="272"/>
      <c r="R1" s="273"/>
      <c r="S1" s="271" t="s">
        <v>1948</v>
      </c>
      <c r="T1" s="272"/>
      <c r="U1" s="272"/>
      <c r="V1" s="273"/>
      <c r="W1" s="271" t="s">
        <v>1949</v>
      </c>
      <c r="X1" s="272"/>
      <c r="Y1" s="272"/>
      <c r="Z1" s="273"/>
      <c r="AA1" s="271" t="s">
        <v>1950</v>
      </c>
      <c r="AB1" s="272"/>
      <c r="AC1" s="272"/>
      <c r="AD1" s="273"/>
      <c r="AE1" s="271" t="s">
        <v>1951</v>
      </c>
      <c r="AF1" s="272"/>
      <c r="AG1" s="272"/>
      <c r="AH1" s="273"/>
      <c r="AI1" s="271" t="s">
        <v>1952</v>
      </c>
      <c r="AJ1" s="272"/>
      <c r="AK1" s="272"/>
      <c r="AL1" s="273"/>
      <c r="AM1" s="270" t="s">
        <v>1953</v>
      </c>
      <c r="AN1" s="270"/>
      <c r="AO1" s="270"/>
      <c r="AP1" s="270"/>
      <c r="AQ1" s="270" t="s">
        <v>1954</v>
      </c>
      <c r="AR1" s="270"/>
      <c r="AS1" s="270"/>
      <c r="AT1" s="270"/>
      <c r="AU1" s="270" t="s">
        <v>1955</v>
      </c>
      <c r="AV1" s="270"/>
      <c r="AW1" s="270"/>
      <c r="AX1" s="270"/>
      <c r="AY1" s="270" t="s">
        <v>1956</v>
      </c>
      <c r="AZ1" s="270"/>
      <c r="BA1" s="270"/>
      <c r="BB1" s="270"/>
      <c r="BC1" s="270" t="s">
        <v>1957</v>
      </c>
      <c r="BD1" s="270"/>
      <c r="BE1" s="270"/>
      <c r="BF1" s="270"/>
      <c r="BG1" s="270" t="s">
        <v>1958</v>
      </c>
      <c r="BH1" s="270"/>
      <c r="BI1" s="270"/>
      <c r="BJ1" s="270"/>
      <c r="BK1" s="270" t="s">
        <v>1959</v>
      </c>
      <c r="BL1" s="270"/>
      <c r="BM1" s="270"/>
      <c r="BN1" s="270"/>
      <c r="BO1" s="270" t="s">
        <v>1960</v>
      </c>
      <c r="BP1" s="270"/>
      <c r="BQ1" s="270"/>
      <c r="BR1" s="270"/>
      <c r="BS1" s="271" t="s">
        <v>1961</v>
      </c>
      <c r="BT1" s="272"/>
      <c r="BU1" s="272"/>
      <c r="BV1" s="273"/>
      <c r="BW1" s="271" t="s">
        <v>1962</v>
      </c>
      <c r="BX1" s="272"/>
      <c r="BY1" s="272"/>
      <c r="BZ1" s="273"/>
      <c r="CA1" s="271" t="s">
        <v>1963</v>
      </c>
      <c r="CB1" s="272"/>
      <c r="CC1" s="272"/>
      <c r="CD1" s="273"/>
      <c r="CE1" s="271" t="s">
        <v>1964</v>
      </c>
      <c r="CF1" s="272"/>
      <c r="CG1" s="272"/>
      <c r="CH1" s="273"/>
      <c r="CI1" s="270" t="s">
        <v>1965</v>
      </c>
      <c r="CJ1" s="270"/>
      <c r="CK1" s="270"/>
      <c r="CL1" s="270"/>
      <c r="CM1" s="271" t="s">
        <v>1966</v>
      </c>
      <c r="CN1" s="272"/>
      <c r="CO1" s="272"/>
      <c r="CP1" s="273"/>
      <c r="CQ1" s="271" t="s">
        <v>1967</v>
      </c>
      <c r="CR1" s="272"/>
      <c r="CS1" s="272"/>
      <c r="CT1" s="273"/>
      <c r="CU1" s="271" t="s">
        <v>1968</v>
      </c>
      <c r="CV1" s="272"/>
      <c r="CW1" s="272"/>
      <c r="CX1" s="273"/>
      <c r="CY1" s="271" t="s">
        <v>1969</v>
      </c>
      <c r="CZ1" s="272"/>
      <c r="DA1" s="272"/>
      <c r="DB1" s="273"/>
      <c r="DC1" s="271" t="s">
        <v>1970</v>
      </c>
      <c r="DD1" s="272"/>
      <c r="DE1" s="272"/>
      <c r="DF1" s="273"/>
      <c r="DG1" s="271" t="s">
        <v>1971</v>
      </c>
      <c r="DH1" s="272"/>
      <c r="DI1" s="272"/>
      <c r="DJ1" s="273"/>
      <c r="DK1" s="271" t="s">
        <v>1972</v>
      </c>
      <c r="DL1" s="272"/>
      <c r="DM1" s="272"/>
      <c r="DN1" s="273"/>
      <c r="DO1" s="271" t="s">
        <v>1973</v>
      </c>
      <c r="DP1" s="272"/>
      <c r="DQ1" s="272"/>
      <c r="DR1" s="273"/>
      <c r="DS1" s="270" t="s">
        <v>1974</v>
      </c>
      <c r="DT1" s="270"/>
      <c r="DU1" s="270"/>
      <c r="DV1" s="270"/>
      <c r="DW1" s="270" t="s">
        <v>1975</v>
      </c>
      <c r="DX1" s="270"/>
      <c r="DY1" s="270"/>
      <c r="DZ1" s="270"/>
      <c r="EA1" s="274" t="s">
        <v>1976</v>
      </c>
    </row>
    <row r="2" spans="1:132" s="275" customFormat="1" ht="36.75" customHeight="1" x14ac:dyDescent="0.2">
      <c r="A2" s="276"/>
      <c r="B2" s="277">
        <v>2025</v>
      </c>
      <c r="C2" s="278" t="s">
        <v>1977</v>
      </c>
      <c r="D2" s="278" t="s">
        <v>1978</v>
      </c>
      <c r="E2" s="278" t="s">
        <v>1979</v>
      </c>
      <c r="F2" s="278" t="s">
        <v>1980</v>
      </c>
      <c r="G2" s="278" t="s">
        <v>1977</v>
      </c>
      <c r="H2" s="278" t="s">
        <v>1978</v>
      </c>
      <c r="I2" s="278" t="s">
        <v>1979</v>
      </c>
      <c r="J2" s="278" t="s">
        <v>1980</v>
      </c>
      <c r="K2" s="278" t="s">
        <v>1977</v>
      </c>
      <c r="L2" s="278" t="s">
        <v>1978</v>
      </c>
      <c r="M2" s="278" t="s">
        <v>1979</v>
      </c>
      <c r="N2" s="278" t="s">
        <v>1980</v>
      </c>
      <c r="O2" s="278" t="s">
        <v>1977</v>
      </c>
      <c r="P2" s="278" t="s">
        <v>1978</v>
      </c>
      <c r="Q2" s="278" t="s">
        <v>1979</v>
      </c>
      <c r="R2" s="278" t="s">
        <v>1980</v>
      </c>
      <c r="S2" s="278" t="s">
        <v>1977</v>
      </c>
      <c r="T2" s="278" t="s">
        <v>1978</v>
      </c>
      <c r="U2" s="278" t="s">
        <v>1979</v>
      </c>
      <c r="V2" s="278" t="s">
        <v>1980</v>
      </c>
      <c r="W2" s="278" t="s">
        <v>1977</v>
      </c>
      <c r="X2" s="278" t="s">
        <v>1978</v>
      </c>
      <c r="Y2" s="278" t="s">
        <v>1979</v>
      </c>
      <c r="Z2" s="278" t="s">
        <v>1980</v>
      </c>
      <c r="AA2" s="278" t="s">
        <v>1977</v>
      </c>
      <c r="AB2" s="278" t="s">
        <v>1978</v>
      </c>
      <c r="AC2" s="278" t="s">
        <v>1979</v>
      </c>
      <c r="AD2" s="278" t="s">
        <v>1980</v>
      </c>
      <c r="AE2" s="278" t="s">
        <v>1977</v>
      </c>
      <c r="AF2" s="278" t="s">
        <v>1978</v>
      </c>
      <c r="AG2" s="278" t="s">
        <v>1979</v>
      </c>
      <c r="AH2" s="278" t="s">
        <v>1980</v>
      </c>
      <c r="AI2" s="278" t="s">
        <v>1977</v>
      </c>
      <c r="AJ2" s="278" t="s">
        <v>1978</v>
      </c>
      <c r="AK2" s="278" t="s">
        <v>1979</v>
      </c>
      <c r="AL2" s="278" t="s">
        <v>1980</v>
      </c>
      <c r="AM2" s="278" t="s">
        <v>1977</v>
      </c>
      <c r="AN2" s="278" t="s">
        <v>1978</v>
      </c>
      <c r="AO2" s="278" t="s">
        <v>1979</v>
      </c>
      <c r="AP2" s="278" t="s">
        <v>1980</v>
      </c>
      <c r="AQ2" s="278" t="s">
        <v>1977</v>
      </c>
      <c r="AR2" s="278" t="s">
        <v>1978</v>
      </c>
      <c r="AS2" s="278" t="s">
        <v>1979</v>
      </c>
      <c r="AT2" s="278" t="s">
        <v>1980</v>
      </c>
      <c r="AU2" s="278" t="s">
        <v>1977</v>
      </c>
      <c r="AV2" s="278" t="s">
        <v>1978</v>
      </c>
      <c r="AW2" s="278" t="s">
        <v>1979</v>
      </c>
      <c r="AX2" s="278" t="s">
        <v>1980</v>
      </c>
      <c r="AY2" s="278" t="s">
        <v>1977</v>
      </c>
      <c r="AZ2" s="278" t="s">
        <v>1978</v>
      </c>
      <c r="BA2" s="278" t="s">
        <v>1979</v>
      </c>
      <c r="BB2" s="278" t="s">
        <v>1980</v>
      </c>
      <c r="BC2" s="278" t="s">
        <v>1977</v>
      </c>
      <c r="BD2" s="278" t="s">
        <v>1978</v>
      </c>
      <c r="BE2" s="278" t="s">
        <v>1979</v>
      </c>
      <c r="BF2" s="278" t="s">
        <v>1980</v>
      </c>
      <c r="BG2" s="278" t="s">
        <v>1977</v>
      </c>
      <c r="BH2" s="278" t="s">
        <v>1978</v>
      </c>
      <c r="BI2" s="278" t="s">
        <v>1979</v>
      </c>
      <c r="BJ2" s="278" t="s">
        <v>1980</v>
      </c>
      <c r="BK2" s="278" t="s">
        <v>1977</v>
      </c>
      <c r="BL2" s="278" t="s">
        <v>1978</v>
      </c>
      <c r="BM2" s="278" t="s">
        <v>1979</v>
      </c>
      <c r="BN2" s="278" t="s">
        <v>1980</v>
      </c>
      <c r="BO2" s="278" t="s">
        <v>1977</v>
      </c>
      <c r="BP2" s="278" t="s">
        <v>1978</v>
      </c>
      <c r="BQ2" s="278" t="s">
        <v>1979</v>
      </c>
      <c r="BR2" s="278" t="s">
        <v>1980</v>
      </c>
      <c r="BS2" s="278" t="s">
        <v>1977</v>
      </c>
      <c r="BT2" s="278" t="s">
        <v>1978</v>
      </c>
      <c r="BU2" s="278" t="s">
        <v>1979</v>
      </c>
      <c r="BV2" s="278" t="s">
        <v>1980</v>
      </c>
      <c r="BW2" s="278" t="s">
        <v>1977</v>
      </c>
      <c r="BX2" s="278" t="s">
        <v>1978</v>
      </c>
      <c r="BY2" s="278" t="s">
        <v>1979</v>
      </c>
      <c r="BZ2" s="278" t="s">
        <v>1980</v>
      </c>
      <c r="CA2" s="278" t="s">
        <v>1977</v>
      </c>
      <c r="CB2" s="278" t="s">
        <v>1978</v>
      </c>
      <c r="CC2" s="278" t="s">
        <v>1979</v>
      </c>
      <c r="CD2" s="278" t="s">
        <v>1980</v>
      </c>
      <c r="CE2" s="278" t="s">
        <v>1977</v>
      </c>
      <c r="CF2" s="278" t="s">
        <v>1978</v>
      </c>
      <c r="CG2" s="278" t="s">
        <v>1979</v>
      </c>
      <c r="CH2" s="278" t="s">
        <v>1980</v>
      </c>
      <c r="CI2" s="278" t="s">
        <v>1977</v>
      </c>
      <c r="CJ2" s="278" t="s">
        <v>1978</v>
      </c>
      <c r="CK2" s="278" t="s">
        <v>1979</v>
      </c>
      <c r="CL2" s="278" t="s">
        <v>1980</v>
      </c>
      <c r="CM2" s="278" t="s">
        <v>1977</v>
      </c>
      <c r="CN2" s="278" t="s">
        <v>1978</v>
      </c>
      <c r="CO2" s="278" t="s">
        <v>1979</v>
      </c>
      <c r="CP2" s="278" t="s">
        <v>1980</v>
      </c>
      <c r="CQ2" s="278" t="s">
        <v>1977</v>
      </c>
      <c r="CR2" s="278" t="s">
        <v>1978</v>
      </c>
      <c r="CS2" s="278" t="s">
        <v>1979</v>
      </c>
      <c r="CT2" s="278" t="s">
        <v>1980</v>
      </c>
      <c r="CU2" s="278" t="s">
        <v>1977</v>
      </c>
      <c r="CV2" s="278" t="s">
        <v>1978</v>
      </c>
      <c r="CW2" s="278" t="s">
        <v>1979</v>
      </c>
      <c r="CX2" s="278" t="s">
        <v>1980</v>
      </c>
      <c r="CY2" s="278" t="s">
        <v>1977</v>
      </c>
      <c r="CZ2" s="278" t="s">
        <v>1978</v>
      </c>
      <c r="DA2" s="278" t="s">
        <v>1979</v>
      </c>
      <c r="DB2" s="278" t="s">
        <v>1980</v>
      </c>
      <c r="DC2" s="278" t="s">
        <v>1977</v>
      </c>
      <c r="DD2" s="278" t="s">
        <v>1978</v>
      </c>
      <c r="DE2" s="278" t="s">
        <v>1979</v>
      </c>
      <c r="DF2" s="278" t="s">
        <v>1980</v>
      </c>
      <c r="DG2" s="278" t="s">
        <v>1977</v>
      </c>
      <c r="DH2" s="278" t="s">
        <v>1978</v>
      </c>
      <c r="DI2" s="278" t="s">
        <v>1979</v>
      </c>
      <c r="DJ2" s="278" t="s">
        <v>1980</v>
      </c>
      <c r="DK2" s="278" t="s">
        <v>1977</v>
      </c>
      <c r="DL2" s="278" t="s">
        <v>1978</v>
      </c>
      <c r="DM2" s="278" t="s">
        <v>1979</v>
      </c>
      <c r="DN2" s="278" t="s">
        <v>1980</v>
      </c>
      <c r="DO2" s="278" t="s">
        <v>1977</v>
      </c>
      <c r="DP2" s="278" t="s">
        <v>1978</v>
      </c>
      <c r="DQ2" s="278" t="s">
        <v>1979</v>
      </c>
      <c r="DR2" s="278" t="s">
        <v>1980</v>
      </c>
      <c r="DS2" s="278" t="s">
        <v>1977</v>
      </c>
      <c r="DT2" s="278" t="s">
        <v>1978</v>
      </c>
      <c r="DU2" s="278" t="s">
        <v>1979</v>
      </c>
      <c r="DV2" s="278" t="s">
        <v>1980</v>
      </c>
      <c r="DW2" s="278" t="s">
        <v>1977</v>
      </c>
      <c r="DX2" s="278" t="s">
        <v>1978</v>
      </c>
      <c r="DY2" s="278" t="s">
        <v>1979</v>
      </c>
      <c r="DZ2" s="278" t="s">
        <v>1981</v>
      </c>
      <c r="EA2" s="279"/>
    </row>
    <row r="3" spans="1:132" s="283" customFormat="1" ht="45.75" customHeight="1" x14ac:dyDescent="0.2">
      <c r="A3" s="280" t="s">
        <v>25</v>
      </c>
      <c r="B3" s="281">
        <f t="shared" ref="B3:DV3" si="0">+B4+B13</f>
        <v>16127489183.439999</v>
      </c>
      <c r="C3" s="281">
        <f>+C4+C13</f>
        <v>1600000000</v>
      </c>
      <c r="D3" s="281">
        <f t="shared" si="0"/>
        <v>1067488150.3299999</v>
      </c>
      <c r="E3" s="281">
        <f t="shared" si="0"/>
        <v>710575255.36999989</v>
      </c>
      <c r="F3" s="281">
        <f t="shared" si="0"/>
        <v>681026474.5</v>
      </c>
      <c r="G3" s="281">
        <f t="shared" si="0"/>
        <v>863000000</v>
      </c>
      <c r="H3" s="281">
        <f t="shared" si="0"/>
        <v>330000000</v>
      </c>
      <c r="I3" s="281">
        <f t="shared" si="0"/>
        <v>0</v>
      </c>
      <c r="J3" s="281">
        <f t="shared" si="0"/>
        <v>0</v>
      </c>
      <c r="K3" s="281">
        <f t="shared" si="0"/>
        <v>0</v>
      </c>
      <c r="L3" s="281">
        <f t="shared" si="0"/>
        <v>0</v>
      </c>
      <c r="M3" s="281">
        <f t="shared" si="0"/>
        <v>0</v>
      </c>
      <c r="N3" s="281">
        <f t="shared" si="0"/>
        <v>0</v>
      </c>
      <c r="O3" s="281">
        <f t="shared" si="0"/>
        <v>0</v>
      </c>
      <c r="P3" s="281">
        <f t="shared" si="0"/>
        <v>0</v>
      </c>
      <c r="Q3" s="281">
        <f t="shared" si="0"/>
        <v>0</v>
      </c>
      <c r="R3" s="281">
        <f t="shared" si="0"/>
        <v>0</v>
      </c>
      <c r="S3" s="281">
        <f t="shared" si="0"/>
        <v>0</v>
      </c>
      <c r="T3" s="281">
        <f t="shared" si="0"/>
        <v>0</v>
      </c>
      <c r="U3" s="281">
        <f t="shared" si="0"/>
        <v>0</v>
      </c>
      <c r="V3" s="281">
        <f t="shared" si="0"/>
        <v>0</v>
      </c>
      <c r="W3" s="281">
        <f t="shared" si="0"/>
        <v>0</v>
      </c>
      <c r="X3" s="281">
        <f t="shared" si="0"/>
        <v>0</v>
      </c>
      <c r="Y3" s="281">
        <f t="shared" si="0"/>
        <v>0</v>
      </c>
      <c r="Z3" s="281">
        <f t="shared" si="0"/>
        <v>0</v>
      </c>
      <c r="AA3" s="281">
        <f t="shared" si="0"/>
        <v>0</v>
      </c>
      <c r="AB3" s="281">
        <f t="shared" si="0"/>
        <v>0</v>
      </c>
      <c r="AC3" s="281">
        <f t="shared" si="0"/>
        <v>0</v>
      </c>
      <c r="AD3" s="281">
        <f t="shared" si="0"/>
        <v>0</v>
      </c>
      <c r="AE3" s="281">
        <f t="shared" si="0"/>
        <v>0</v>
      </c>
      <c r="AF3" s="281">
        <f t="shared" si="0"/>
        <v>0</v>
      </c>
      <c r="AG3" s="281">
        <f t="shared" si="0"/>
        <v>0</v>
      </c>
      <c r="AH3" s="281">
        <f t="shared" si="0"/>
        <v>0</v>
      </c>
      <c r="AI3" s="281">
        <f t="shared" si="0"/>
        <v>0</v>
      </c>
      <c r="AJ3" s="281">
        <f t="shared" si="0"/>
        <v>0</v>
      </c>
      <c r="AK3" s="281">
        <f t="shared" si="0"/>
        <v>0</v>
      </c>
      <c r="AL3" s="281">
        <f t="shared" si="0"/>
        <v>0</v>
      </c>
      <c r="AM3" s="281">
        <f t="shared" si="0"/>
        <v>0</v>
      </c>
      <c r="AN3" s="281">
        <f t="shared" si="0"/>
        <v>0</v>
      </c>
      <c r="AO3" s="281">
        <f t="shared" si="0"/>
        <v>0</v>
      </c>
      <c r="AP3" s="281">
        <f t="shared" si="0"/>
        <v>0</v>
      </c>
      <c r="AQ3" s="281">
        <f t="shared" si="0"/>
        <v>0</v>
      </c>
      <c r="AR3" s="281">
        <f t="shared" si="0"/>
        <v>0</v>
      </c>
      <c r="AS3" s="281">
        <f t="shared" si="0"/>
        <v>0</v>
      </c>
      <c r="AT3" s="281">
        <f t="shared" si="0"/>
        <v>0</v>
      </c>
      <c r="AU3" s="281">
        <f t="shared" si="0"/>
        <v>0</v>
      </c>
      <c r="AV3" s="281">
        <f t="shared" si="0"/>
        <v>0</v>
      </c>
      <c r="AW3" s="281">
        <f t="shared" si="0"/>
        <v>0</v>
      </c>
      <c r="AX3" s="281">
        <f t="shared" si="0"/>
        <v>0</v>
      </c>
      <c r="AY3" s="281">
        <f t="shared" si="0"/>
        <v>0</v>
      </c>
      <c r="AZ3" s="281">
        <f t="shared" si="0"/>
        <v>0</v>
      </c>
      <c r="BA3" s="281">
        <f t="shared" si="0"/>
        <v>0</v>
      </c>
      <c r="BB3" s="281">
        <f t="shared" si="0"/>
        <v>0</v>
      </c>
      <c r="BC3" s="281">
        <f t="shared" si="0"/>
        <v>13664489183.439999</v>
      </c>
      <c r="BD3" s="281">
        <f t="shared" si="0"/>
        <v>13421671977.439999</v>
      </c>
      <c r="BE3" s="281">
        <f t="shared" si="0"/>
        <v>1670902844.2</v>
      </c>
      <c r="BF3" s="281">
        <f t="shared" si="0"/>
        <v>1670902803.76</v>
      </c>
      <c r="BG3" s="281">
        <f t="shared" si="0"/>
        <v>0</v>
      </c>
      <c r="BH3" s="281">
        <f t="shared" si="0"/>
        <v>0</v>
      </c>
      <c r="BI3" s="281">
        <f t="shared" si="0"/>
        <v>0</v>
      </c>
      <c r="BJ3" s="281">
        <f t="shared" si="0"/>
        <v>0</v>
      </c>
      <c r="BK3" s="281">
        <f t="shared" si="0"/>
        <v>0</v>
      </c>
      <c r="BL3" s="281">
        <f t="shared" si="0"/>
        <v>0</v>
      </c>
      <c r="BM3" s="281">
        <f t="shared" si="0"/>
        <v>0</v>
      </c>
      <c r="BN3" s="281">
        <f t="shared" si="0"/>
        <v>0</v>
      </c>
      <c r="BO3" s="281">
        <f t="shared" si="0"/>
        <v>0</v>
      </c>
      <c r="BP3" s="281">
        <f t="shared" si="0"/>
        <v>0</v>
      </c>
      <c r="BQ3" s="281">
        <f t="shared" si="0"/>
        <v>0</v>
      </c>
      <c r="BR3" s="281">
        <f t="shared" si="0"/>
        <v>0</v>
      </c>
      <c r="BS3" s="281">
        <f t="shared" si="0"/>
        <v>0</v>
      </c>
      <c r="BT3" s="281">
        <f t="shared" si="0"/>
        <v>0</v>
      </c>
      <c r="BU3" s="281">
        <f t="shared" si="0"/>
        <v>0</v>
      </c>
      <c r="BV3" s="281">
        <f t="shared" si="0"/>
        <v>0</v>
      </c>
      <c r="BW3" s="281">
        <f t="shared" si="0"/>
        <v>0</v>
      </c>
      <c r="BX3" s="281">
        <f t="shared" si="0"/>
        <v>0</v>
      </c>
      <c r="BY3" s="281">
        <f t="shared" si="0"/>
        <v>0</v>
      </c>
      <c r="BZ3" s="281">
        <f t="shared" si="0"/>
        <v>0</v>
      </c>
      <c r="CA3" s="281">
        <f t="shared" si="0"/>
        <v>0</v>
      </c>
      <c r="CB3" s="281">
        <f t="shared" si="0"/>
        <v>0</v>
      </c>
      <c r="CC3" s="281">
        <f t="shared" si="0"/>
        <v>0</v>
      </c>
      <c r="CD3" s="281">
        <f t="shared" si="0"/>
        <v>0</v>
      </c>
      <c r="CE3" s="281">
        <f t="shared" si="0"/>
        <v>0</v>
      </c>
      <c r="CF3" s="281">
        <f t="shared" si="0"/>
        <v>0</v>
      </c>
      <c r="CG3" s="281">
        <f t="shared" si="0"/>
        <v>0</v>
      </c>
      <c r="CH3" s="281">
        <f t="shared" si="0"/>
        <v>0</v>
      </c>
      <c r="CI3" s="281">
        <f t="shared" si="0"/>
        <v>0</v>
      </c>
      <c r="CJ3" s="281">
        <f t="shared" si="0"/>
        <v>0</v>
      </c>
      <c r="CK3" s="281">
        <f t="shared" si="0"/>
        <v>0</v>
      </c>
      <c r="CL3" s="281">
        <f t="shared" si="0"/>
        <v>0</v>
      </c>
      <c r="CM3" s="281">
        <f t="shared" si="0"/>
        <v>0</v>
      </c>
      <c r="CN3" s="281">
        <f t="shared" si="0"/>
        <v>0</v>
      </c>
      <c r="CO3" s="281">
        <f t="shared" si="0"/>
        <v>0</v>
      </c>
      <c r="CP3" s="281">
        <f t="shared" si="0"/>
        <v>0</v>
      </c>
      <c r="CQ3" s="281">
        <f t="shared" si="0"/>
        <v>0</v>
      </c>
      <c r="CR3" s="281">
        <f t="shared" si="0"/>
        <v>0</v>
      </c>
      <c r="CS3" s="281">
        <f t="shared" si="0"/>
        <v>0</v>
      </c>
      <c r="CT3" s="281">
        <f t="shared" si="0"/>
        <v>0</v>
      </c>
      <c r="CU3" s="281">
        <f t="shared" si="0"/>
        <v>0</v>
      </c>
      <c r="CV3" s="281">
        <f t="shared" si="0"/>
        <v>0</v>
      </c>
      <c r="CW3" s="281">
        <f t="shared" si="0"/>
        <v>0</v>
      </c>
      <c r="CX3" s="281">
        <f t="shared" si="0"/>
        <v>0</v>
      </c>
      <c r="CY3" s="281">
        <f t="shared" si="0"/>
        <v>0</v>
      </c>
      <c r="CZ3" s="281">
        <f t="shared" si="0"/>
        <v>0</v>
      </c>
      <c r="DA3" s="281">
        <f t="shared" si="0"/>
        <v>0</v>
      </c>
      <c r="DB3" s="281">
        <f t="shared" si="0"/>
        <v>0</v>
      </c>
      <c r="DC3" s="281">
        <f t="shared" si="0"/>
        <v>0</v>
      </c>
      <c r="DD3" s="281">
        <f t="shared" si="0"/>
        <v>0</v>
      </c>
      <c r="DE3" s="281">
        <f t="shared" si="0"/>
        <v>0</v>
      </c>
      <c r="DF3" s="281">
        <f t="shared" si="0"/>
        <v>0</v>
      </c>
      <c r="DG3" s="281">
        <f t="shared" si="0"/>
        <v>0</v>
      </c>
      <c r="DH3" s="281">
        <f t="shared" si="0"/>
        <v>0</v>
      </c>
      <c r="DI3" s="281">
        <f t="shared" si="0"/>
        <v>0</v>
      </c>
      <c r="DJ3" s="281">
        <f t="shared" si="0"/>
        <v>0</v>
      </c>
      <c r="DK3" s="281">
        <f t="shared" si="0"/>
        <v>0</v>
      </c>
      <c r="DL3" s="281">
        <f t="shared" si="0"/>
        <v>0</v>
      </c>
      <c r="DM3" s="281">
        <f t="shared" si="0"/>
        <v>0</v>
      </c>
      <c r="DN3" s="281">
        <f t="shared" si="0"/>
        <v>0</v>
      </c>
      <c r="DO3" s="281">
        <f t="shared" si="0"/>
        <v>0</v>
      </c>
      <c r="DP3" s="281">
        <f t="shared" si="0"/>
        <v>0</v>
      </c>
      <c r="DQ3" s="281">
        <f t="shared" si="0"/>
        <v>0</v>
      </c>
      <c r="DR3" s="281">
        <f t="shared" si="0"/>
        <v>0</v>
      </c>
      <c r="DS3" s="281">
        <f t="shared" si="0"/>
        <v>0</v>
      </c>
      <c r="DT3" s="281">
        <f t="shared" si="0"/>
        <v>0</v>
      </c>
      <c r="DU3" s="281">
        <f t="shared" si="0"/>
        <v>0</v>
      </c>
      <c r="DV3" s="281">
        <f t="shared" si="0"/>
        <v>0</v>
      </c>
      <c r="DW3" s="281">
        <f t="shared" ref="DW3:DZ32" si="1">+C3+G3+K3+O3+S3+W3+AA3+AE3+AI3+AM3+AQ3+AU3+AY3+BC3+BG3+BK3+BO3+BS3+BW3+CA3+CE3+CI3+CM3+CQ3+CU3+CY3+DC3+DG3+DK3+DO3+DS3</f>
        <v>16127489183.439999</v>
      </c>
      <c r="DX3" s="281">
        <f t="shared" si="1"/>
        <v>14819160127.769999</v>
      </c>
      <c r="DY3" s="281">
        <f t="shared" si="1"/>
        <v>2381478099.5699997</v>
      </c>
      <c r="DZ3" s="281">
        <f t="shared" si="1"/>
        <v>2351929278.2600002</v>
      </c>
      <c r="EA3" s="282"/>
    </row>
    <row r="4" spans="1:132" ht="45.75" customHeight="1" x14ac:dyDescent="0.2">
      <c r="A4" s="284" t="s">
        <v>1982</v>
      </c>
      <c r="B4" s="285">
        <f>+B5+B9</f>
        <v>5327688318.6400003</v>
      </c>
      <c r="C4" s="285">
        <f t="shared" ref="C4:DV4" si="2">+C5+C9</f>
        <v>1000000000</v>
      </c>
      <c r="D4" s="285">
        <f t="shared" si="2"/>
        <v>696465602.63999999</v>
      </c>
      <c r="E4" s="285">
        <f t="shared" si="2"/>
        <v>391151908.57999998</v>
      </c>
      <c r="F4" s="285">
        <f t="shared" si="2"/>
        <v>370012878.57999998</v>
      </c>
      <c r="G4" s="285">
        <f t="shared" si="2"/>
        <v>143000000</v>
      </c>
      <c r="H4" s="285">
        <f t="shared" si="2"/>
        <v>30000000</v>
      </c>
      <c r="I4" s="285">
        <f t="shared" si="2"/>
        <v>0</v>
      </c>
      <c r="J4" s="285">
        <f t="shared" si="2"/>
        <v>0</v>
      </c>
      <c r="K4" s="285">
        <f t="shared" si="2"/>
        <v>0</v>
      </c>
      <c r="L4" s="285">
        <f t="shared" si="2"/>
        <v>0</v>
      </c>
      <c r="M4" s="285">
        <f t="shared" si="2"/>
        <v>0</v>
      </c>
      <c r="N4" s="285">
        <f t="shared" si="2"/>
        <v>0</v>
      </c>
      <c r="O4" s="285">
        <f t="shared" si="2"/>
        <v>0</v>
      </c>
      <c r="P4" s="285">
        <f t="shared" si="2"/>
        <v>0</v>
      </c>
      <c r="Q4" s="285">
        <f t="shared" si="2"/>
        <v>0</v>
      </c>
      <c r="R4" s="285">
        <f t="shared" si="2"/>
        <v>0</v>
      </c>
      <c r="S4" s="285">
        <f t="shared" si="2"/>
        <v>0</v>
      </c>
      <c r="T4" s="285">
        <f t="shared" si="2"/>
        <v>0</v>
      </c>
      <c r="U4" s="285">
        <f t="shared" si="2"/>
        <v>0</v>
      </c>
      <c r="V4" s="285">
        <f t="shared" si="2"/>
        <v>0</v>
      </c>
      <c r="W4" s="285">
        <f t="shared" si="2"/>
        <v>0</v>
      </c>
      <c r="X4" s="285">
        <f t="shared" si="2"/>
        <v>0</v>
      </c>
      <c r="Y4" s="285">
        <f t="shared" si="2"/>
        <v>0</v>
      </c>
      <c r="Z4" s="285">
        <f t="shared" si="2"/>
        <v>0</v>
      </c>
      <c r="AA4" s="285">
        <f t="shared" si="2"/>
        <v>0</v>
      </c>
      <c r="AB4" s="285">
        <f t="shared" si="2"/>
        <v>0</v>
      </c>
      <c r="AC4" s="285">
        <f t="shared" si="2"/>
        <v>0</v>
      </c>
      <c r="AD4" s="285">
        <f t="shared" si="2"/>
        <v>0</v>
      </c>
      <c r="AE4" s="285">
        <f t="shared" si="2"/>
        <v>0</v>
      </c>
      <c r="AF4" s="285">
        <f t="shared" si="2"/>
        <v>0</v>
      </c>
      <c r="AG4" s="285">
        <f t="shared" si="2"/>
        <v>0</v>
      </c>
      <c r="AH4" s="285">
        <f t="shared" si="2"/>
        <v>0</v>
      </c>
      <c r="AI4" s="285">
        <f t="shared" si="2"/>
        <v>0</v>
      </c>
      <c r="AJ4" s="285">
        <f t="shared" si="2"/>
        <v>0</v>
      </c>
      <c r="AK4" s="285">
        <f t="shared" si="2"/>
        <v>0</v>
      </c>
      <c r="AL4" s="285">
        <f t="shared" si="2"/>
        <v>0</v>
      </c>
      <c r="AM4" s="285">
        <f t="shared" si="2"/>
        <v>0</v>
      </c>
      <c r="AN4" s="285">
        <f t="shared" si="2"/>
        <v>0</v>
      </c>
      <c r="AO4" s="285">
        <f t="shared" si="2"/>
        <v>0</v>
      </c>
      <c r="AP4" s="285">
        <f t="shared" si="2"/>
        <v>0</v>
      </c>
      <c r="AQ4" s="285">
        <f t="shared" si="2"/>
        <v>0</v>
      </c>
      <c r="AR4" s="285">
        <f t="shared" si="2"/>
        <v>0</v>
      </c>
      <c r="AS4" s="285">
        <f t="shared" si="2"/>
        <v>0</v>
      </c>
      <c r="AT4" s="285">
        <f t="shared" si="2"/>
        <v>0</v>
      </c>
      <c r="AU4" s="285">
        <f t="shared" si="2"/>
        <v>0</v>
      </c>
      <c r="AV4" s="285">
        <f t="shared" si="2"/>
        <v>0</v>
      </c>
      <c r="AW4" s="285">
        <f t="shared" si="2"/>
        <v>0</v>
      </c>
      <c r="AX4" s="285">
        <f t="shared" si="2"/>
        <v>0</v>
      </c>
      <c r="AY4" s="285">
        <f t="shared" si="2"/>
        <v>0</v>
      </c>
      <c r="AZ4" s="285">
        <f t="shared" si="2"/>
        <v>0</v>
      </c>
      <c r="BA4" s="285">
        <f t="shared" si="2"/>
        <v>0</v>
      </c>
      <c r="BB4" s="285">
        <f t="shared" si="2"/>
        <v>0</v>
      </c>
      <c r="BC4" s="285">
        <f t="shared" si="2"/>
        <v>4184688318.6400003</v>
      </c>
      <c r="BD4" s="285">
        <f t="shared" si="2"/>
        <v>4184698318.6400003</v>
      </c>
      <c r="BE4" s="285">
        <f t="shared" si="2"/>
        <v>1353935356</v>
      </c>
      <c r="BF4" s="285">
        <f t="shared" si="2"/>
        <v>1353935355.5599999</v>
      </c>
      <c r="BG4" s="285">
        <f t="shared" si="2"/>
        <v>0</v>
      </c>
      <c r="BH4" s="285">
        <f t="shared" si="2"/>
        <v>0</v>
      </c>
      <c r="BI4" s="285">
        <f t="shared" si="2"/>
        <v>0</v>
      </c>
      <c r="BJ4" s="285">
        <f t="shared" si="2"/>
        <v>0</v>
      </c>
      <c r="BK4" s="285">
        <f t="shared" si="2"/>
        <v>0</v>
      </c>
      <c r="BL4" s="285">
        <f t="shared" si="2"/>
        <v>0</v>
      </c>
      <c r="BM4" s="285">
        <f t="shared" si="2"/>
        <v>0</v>
      </c>
      <c r="BN4" s="285">
        <f t="shared" si="2"/>
        <v>0</v>
      </c>
      <c r="BO4" s="285">
        <f t="shared" si="2"/>
        <v>0</v>
      </c>
      <c r="BP4" s="285">
        <f t="shared" si="2"/>
        <v>0</v>
      </c>
      <c r="BQ4" s="285">
        <f t="shared" si="2"/>
        <v>0</v>
      </c>
      <c r="BR4" s="285">
        <f t="shared" si="2"/>
        <v>0</v>
      </c>
      <c r="BS4" s="285">
        <f t="shared" si="2"/>
        <v>0</v>
      </c>
      <c r="BT4" s="285">
        <f t="shared" si="2"/>
        <v>0</v>
      </c>
      <c r="BU4" s="285">
        <f t="shared" si="2"/>
        <v>0</v>
      </c>
      <c r="BV4" s="285">
        <f t="shared" si="2"/>
        <v>0</v>
      </c>
      <c r="BW4" s="285">
        <f t="shared" si="2"/>
        <v>0</v>
      </c>
      <c r="BX4" s="285">
        <f t="shared" si="2"/>
        <v>0</v>
      </c>
      <c r="BY4" s="285">
        <f t="shared" si="2"/>
        <v>0</v>
      </c>
      <c r="BZ4" s="285">
        <f t="shared" si="2"/>
        <v>0</v>
      </c>
      <c r="CA4" s="285">
        <f t="shared" si="2"/>
        <v>0</v>
      </c>
      <c r="CB4" s="285">
        <f t="shared" si="2"/>
        <v>0</v>
      </c>
      <c r="CC4" s="285">
        <f t="shared" si="2"/>
        <v>0</v>
      </c>
      <c r="CD4" s="285">
        <f t="shared" si="2"/>
        <v>0</v>
      </c>
      <c r="CE4" s="285">
        <f t="shared" si="2"/>
        <v>0</v>
      </c>
      <c r="CF4" s="285">
        <f t="shared" si="2"/>
        <v>0</v>
      </c>
      <c r="CG4" s="285">
        <f t="shared" si="2"/>
        <v>0</v>
      </c>
      <c r="CH4" s="285">
        <f t="shared" si="2"/>
        <v>0</v>
      </c>
      <c r="CI4" s="285">
        <f t="shared" si="2"/>
        <v>0</v>
      </c>
      <c r="CJ4" s="285">
        <f t="shared" si="2"/>
        <v>0</v>
      </c>
      <c r="CK4" s="285">
        <f t="shared" si="2"/>
        <v>0</v>
      </c>
      <c r="CL4" s="285">
        <f t="shared" si="2"/>
        <v>0</v>
      </c>
      <c r="CM4" s="285">
        <f t="shared" si="2"/>
        <v>0</v>
      </c>
      <c r="CN4" s="285">
        <f t="shared" si="2"/>
        <v>0</v>
      </c>
      <c r="CO4" s="285">
        <f t="shared" si="2"/>
        <v>0</v>
      </c>
      <c r="CP4" s="285">
        <f t="shared" si="2"/>
        <v>0</v>
      </c>
      <c r="CQ4" s="285">
        <f t="shared" si="2"/>
        <v>0</v>
      </c>
      <c r="CR4" s="285">
        <f t="shared" si="2"/>
        <v>0</v>
      </c>
      <c r="CS4" s="285">
        <f t="shared" si="2"/>
        <v>0</v>
      </c>
      <c r="CT4" s="285">
        <f t="shared" si="2"/>
        <v>0</v>
      </c>
      <c r="CU4" s="285">
        <f t="shared" si="2"/>
        <v>0</v>
      </c>
      <c r="CV4" s="285">
        <f t="shared" si="2"/>
        <v>0</v>
      </c>
      <c r="CW4" s="285">
        <f t="shared" si="2"/>
        <v>0</v>
      </c>
      <c r="CX4" s="285">
        <f t="shared" si="2"/>
        <v>0</v>
      </c>
      <c r="CY4" s="285">
        <f t="shared" si="2"/>
        <v>0</v>
      </c>
      <c r="CZ4" s="285">
        <f t="shared" si="2"/>
        <v>0</v>
      </c>
      <c r="DA4" s="285">
        <f t="shared" si="2"/>
        <v>0</v>
      </c>
      <c r="DB4" s="285">
        <f t="shared" si="2"/>
        <v>0</v>
      </c>
      <c r="DC4" s="285">
        <f t="shared" si="2"/>
        <v>0</v>
      </c>
      <c r="DD4" s="285">
        <f t="shared" si="2"/>
        <v>0</v>
      </c>
      <c r="DE4" s="285">
        <f t="shared" si="2"/>
        <v>0</v>
      </c>
      <c r="DF4" s="285">
        <f t="shared" si="2"/>
        <v>0</v>
      </c>
      <c r="DG4" s="285">
        <f t="shared" si="2"/>
        <v>0</v>
      </c>
      <c r="DH4" s="285">
        <f t="shared" si="2"/>
        <v>0</v>
      </c>
      <c r="DI4" s="285">
        <f t="shared" si="2"/>
        <v>0</v>
      </c>
      <c r="DJ4" s="285">
        <f t="shared" si="2"/>
        <v>0</v>
      </c>
      <c r="DK4" s="285">
        <f t="shared" si="2"/>
        <v>0</v>
      </c>
      <c r="DL4" s="285">
        <f t="shared" si="2"/>
        <v>0</v>
      </c>
      <c r="DM4" s="285">
        <f t="shared" si="2"/>
        <v>0</v>
      </c>
      <c r="DN4" s="285">
        <f t="shared" si="2"/>
        <v>0</v>
      </c>
      <c r="DO4" s="285">
        <f t="shared" si="2"/>
        <v>0</v>
      </c>
      <c r="DP4" s="285">
        <f t="shared" si="2"/>
        <v>0</v>
      </c>
      <c r="DQ4" s="285">
        <f t="shared" si="2"/>
        <v>0</v>
      </c>
      <c r="DR4" s="285">
        <f t="shared" si="2"/>
        <v>0</v>
      </c>
      <c r="DS4" s="285">
        <f t="shared" si="2"/>
        <v>0</v>
      </c>
      <c r="DT4" s="285">
        <f t="shared" si="2"/>
        <v>0</v>
      </c>
      <c r="DU4" s="285">
        <f t="shared" si="2"/>
        <v>0</v>
      </c>
      <c r="DV4" s="285">
        <f t="shared" si="2"/>
        <v>0</v>
      </c>
      <c r="DW4" s="286">
        <f t="shared" si="1"/>
        <v>5327688318.6400003</v>
      </c>
      <c r="DX4" s="286">
        <f t="shared" si="1"/>
        <v>4911163921.2800007</v>
      </c>
      <c r="DY4" s="286">
        <f t="shared" si="1"/>
        <v>1745087264.5799999</v>
      </c>
      <c r="DZ4" s="286">
        <f t="shared" si="1"/>
        <v>1723948234.1399999</v>
      </c>
      <c r="EA4" s="287"/>
    </row>
    <row r="5" spans="1:132" ht="45.75" customHeight="1" x14ac:dyDescent="0.2">
      <c r="A5" s="289" t="s">
        <v>1983</v>
      </c>
      <c r="B5" s="290">
        <f t="shared" ref="B5:AH5" si="3">+SUM(B6:B8)</f>
        <v>4762688318.6400003</v>
      </c>
      <c r="C5" s="290">
        <f t="shared" si="3"/>
        <v>500000000</v>
      </c>
      <c r="D5" s="290">
        <f t="shared" si="3"/>
        <v>248155066.75999999</v>
      </c>
      <c r="E5" s="290">
        <f t="shared" si="3"/>
        <v>134577581</v>
      </c>
      <c r="F5" s="290">
        <f t="shared" si="3"/>
        <v>127161031</v>
      </c>
      <c r="G5" s="290">
        <f t="shared" si="3"/>
        <v>78000000</v>
      </c>
      <c r="H5" s="290">
        <f t="shared" si="3"/>
        <v>0</v>
      </c>
      <c r="I5" s="290">
        <f t="shared" si="3"/>
        <v>0</v>
      </c>
      <c r="J5" s="290">
        <f t="shared" si="3"/>
        <v>0</v>
      </c>
      <c r="K5" s="290">
        <f t="shared" si="3"/>
        <v>0</v>
      </c>
      <c r="L5" s="290">
        <f t="shared" si="3"/>
        <v>0</v>
      </c>
      <c r="M5" s="290">
        <f t="shared" si="3"/>
        <v>0</v>
      </c>
      <c r="N5" s="290">
        <f t="shared" si="3"/>
        <v>0</v>
      </c>
      <c r="O5" s="290">
        <f t="shared" si="3"/>
        <v>0</v>
      </c>
      <c r="P5" s="290">
        <f t="shared" si="3"/>
        <v>0</v>
      </c>
      <c r="Q5" s="290">
        <f t="shared" si="3"/>
        <v>0</v>
      </c>
      <c r="R5" s="290">
        <f t="shared" si="3"/>
        <v>0</v>
      </c>
      <c r="S5" s="290">
        <f t="shared" si="3"/>
        <v>0</v>
      </c>
      <c r="T5" s="290">
        <f t="shared" si="3"/>
        <v>0</v>
      </c>
      <c r="U5" s="290">
        <f t="shared" si="3"/>
        <v>0</v>
      </c>
      <c r="V5" s="290">
        <f t="shared" si="3"/>
        <v>0</v>
      </c>
      <c r="W5" s="290">
        <f t="shared" si="3"/>
        <v>0</v>
      </c>
      <c r="X5" s="290">
        <f t="shared" si="3"/>
        <v>0</v>
      </c>
      <c r="Y5" s="290">
        <f t="shared" si="3"/>
        <v>0</v>
      </c>
      <c r="Z5" s="290">
        <f t="shared" si="3"/>
        <v>0</v>
      </c>
      <c r="AA5" s="290">
        <f t="shared" si="3"/>
        <v>0</v>
      </c>
      <c r="AB5" s="290">
        <f t="shared" si="3"/>
        <v>0</v>
      </c>
      <c r="AC5" s="290">
        <f t="shared" si="3"/>
        <v>0</v>
      </c>
      <c r="AD5" s="290">
        <f t="shared" si="3"/>
        <v>0</v>
      </c>
      <c r="AE5" s="290">
        <f t="shared" si="3"/>
        <v>0</v>
      </c>
      <c r="AF5" s="290">
        <f t="shared" si="3"/>
        <v>0</v>
      </c>
      <c r="AG5" s="290">
        <f t="shared" si="3"/>
        <v>0</v>
      </c>
      <c r="AH5" s="290">
        <f t="shared" si="3"/>
        <v>0</v>
      </c>
      <c r="AI5" s="290">
        <f t="shared" ref="AI5:AL5" si="4">+SUM(AI6:AI8)</f>
        <v>0</v>
      </c>
      <c r="AJ5" s="290">
        <f t="shared" si="4"/>
        <v>0</v>
      </c>
      <c r="AK5" s="290">
        <f t="shared" si="4"/>
        <v>0</v>
      </c>
      <c r="AL5" s="290">
        <f t="shared" si="4"/>
        <v>0</v>
      </c>
      <c r="AM5" s="290">
        <f>+SUM(AM6:AM8)</f>
        <v>0</v>
      </c>
      <c r="AN5" s="290">
        <f>+SUM(AN6:AN8)</f>
        <v>0</v>
      </c>
      <c r="AO5" s="290">
        <f>+SUM(AO6:AO8)</f>
        <v>0</v>
      </c>
      <c r="AP5" s="290">
        <f>+SUM(AP6:AP8)</f>
        <v>0</v>
      </c>
      <c r="AQ5" s="290">
        <f t="shared" ref="AQ5:DB5" si="5">SUM(AQ6:AQ8)</f>
        <v>0</v>
      </c>
      <c r="AR5" s="290">
        <f t="shared" si="5"/>
        <v>0</v>
      </c>
      <c r="AS5" s="290">
        <f t="shared" si="5"/>
        <v>0</v>
      </c>
      <c r="AT5" s="290">
        <f t="shared" si="5"/>
        <v>0</v>
      </c>
      <c r="AU5" s="290">
        <f t="shared" si="5"/>
        <v>0</v>
      </c>
      <c r="AV5" s="290">
        <f t="shared" si="5"/>
        <v>0</v>
      </c>
      <c r="AW5" s="290">
        <f t="shared" si="5"/>
        <v>0</v>
      </c>
      <c r="AX5" s="290">
        <f t="shared" si="5"/>
        <v>0</v>
      </c>
      <c r="AY5" s="290">
        <f t="shared" si="5"/>
        <v>0</v>
      </c>
      <c r="AZ5" s="290">
        <f t="shared" si="5"/>
        <v>0</v>
      </c>
      <c r="BA5" s="290">
        <f t="shared" si="5"/>
        <v>0</v>
      </c>
      <c r="BB5" s="290">
        <f t="shared" si="5"/>
        <v>0</v>
      </c>
      <c r="BC5" s="290">
        <f t="shared" si="5"/>
        <v>4184688318.6400003</v>
      </c>
      <c r="BD5" s="290">
        <f t="shared" si="5"/>
        <v>4184698318.6400003</v>
      </c>
      <c r="BE5" s="290">
        <f t="shared" si="5"/>
        <v>1353935356</v>
      </c>
      <c r="BF5" s="290">
        <f t="shared" si="5"/>
        <v>1353935355.5599999</v>
      </c>
      <c r="BG5" s="290">
        <f t="shared" si="5"/>
        <v>0</v>
      </c>
      <c r="BH5" s="290">
        <f t="shared" si="5"/>
        <v>0</v>
      </c>
      <c r="BI5" s="290">
        <f t="shared" si="5"/>
        <v>0</v>
      </c>
      <c r="BJ5" s="290">
        <f t="shared" si="5"/>
        <v>0</v>
      </c>
      <c r="BK5" s="290">
        <f t="shared" si="5"/>
        <v>0</v>
      </c>
      <c r="BL5" s="290">
        <f t="shared" si="5"/>
        <v>0</v>
      </c>
      <c r="BM5" s="290">
        <f t="shared" si="5"/>
        <v>0</v>
      </c>
      <c r="BN5" s="290">
        <f t="shared" si="5"/>
        <v>0</v>
      </c>
      <c r="BO5" s="290">
        <f t="shared" si="5"/>
        <v>0</v>
      </c>
      <c r="BP5" s="290">
        <f t="shared" si="5"/>
        <v>0</v>
      </c>
      <c r="BQ5" s="290">
        <f t="shared" si="5"/>
        <v>0</v>
      </c>
      <c r="BR5" s="290">
        <f t="shared" si="5"/>
        <v>0</v>
      </c>
      <c r="BS5" s="290">
        <f t="shared" si="5"/>
        <v>0</v>
      </c>
      <c r="BT5" s="290">
        <f t="shared" si="5"/>
        <v>0</v>
      </c>
      <c r="BU5" s="290">
        <f t="shared" si="5"/>
        <v>0</v>
      </c>
      <c r="BV5" s="290">
        <f t="shared" si="5"/>
        <v>0</v>
      </c>
      <c r="BW5" s="290">
        <f t="shared" si="5"/>
        <v>0</v>
      </c>
      <c r="BX5" s="290">
        <f t="shared" si="5"/>
        <v>0</v>
      </c>
      <c r="BY5" s="290">
        <f t="shared" si="5"/>
        <v>0</v>
      </c>
      <c r="BZ5" s="290">
        <f t="shared" si="5"/>
        <v>0</v>
      </c>
      <c r="CA5" s="290">
        <f t="shared" si="5"/>
        <v>0</v>
      </c>
      <c r="CB5" s="290">
        <f t="shared" si="5"/>
        <v>0</v>
      </c>
      <c r="CC5" s="290">
        <f t="shared" si="5"/>
        <v>0</v>
      </c>
      <c r="CD5" s="290">
        <f t="shared" si="5"/>
        <v>0</v>
      </c>
      <c r="CE5" s="290">
        <f t="shared" si="5"/>
        <v>0</v>
      </c>
      <c r="CF5" s="290">
        <f t="shared" si="5"/>
        <v>0</v>
      </c>
      <c r="CG5" s="290">
        <f t="shared" si="5"/>
        <v>0</v>
      </c>
      <c r="CH5" s="290">
        <f t="shared" si="5"/>
        <v>0</v>
      </c>
      <c r="CI5" s="290">
        <f t="shared" si="5"/>
        <v>0</v>
      </c>
      <c r="CJ5" s="290">
        <f t="shared" si="5"/>
        <v>0</v>
      </c>
      <c r="CK5" s="290">
        <f t="shared" si="5"/>
        <v>0</v>
      </c>
      <c r="CL5" s="290">
        <f t="shared" si="5"/>
        <v>0</v>
      </c>
      <c r="CM5" s="290">
        <f t="shared" si="5"/>
        <v>0</v>
      </c>
      <c r="CN5" s="290">
        <f t="shared" si="5"/>
        <v>0</v>
      </c>
      <c r="CO5" s="290">
        <f t="shared" si="5"/>
        <v>0</v>
      </c>
      <c r="CP5" s="290">
        <f t="shared" si="5"/>
        <v>0</v>
      </c>
      <c r="CQ5" s="290">
        <f t="shared" si="5"/>
        <v>0</v>
      </c>
      <c r="CR5" s="290">
        <f t="shared" si="5"/>
        <v>0</v>
      </c>
      <c r="CS5" s="290">
        <f t="shared" si="5"/>
        <v>0</v>
      </c>
      <c r="CT5" s="290">
        <f t="shared" si="5"/>
        <v>0</v>
      </c>
      <c r="CU5" s="290">
        <f t="shared" si="5"/>
        <v>0</v>
      </c>
      <c r="CV5" s="290">
        <f t="shared" si="5"/>
        <v>0</v>
      </c>
      <c r="CW5" s="290">
        <f t="shared" si="5"/>
        <v>0</v>
      </c>
      <c r="CX5" s="290">
        <f t="shared" si="5"/>
        <v>0</v>
      </c>
      <c r="CY5" s="290">
        <f t="shared" si="5"/>
        <v>0</v>
      </c>
      <c r="CZ5" s="290">
        <f t="shared" si="5"/>
        <v>0</v>
      </c>
      <c r="DA5" s="290">
        <f t="shared" si="5"/>
        <v>0</v>
      </c>
      <c r="DB5" s="290">
        <f t="shared" si="5"/>
        <v>0</v>
      </c>
      <c r="DC5" s="290">
        <f t="shared" ref="DC5:DV5" si="6">SUM(DC6:DC8)</f>
        <v>0</v>
      </c>
      <c r="DD5" s="290">
        <f t="shared" si="6"/>
        <v>0</v>
      </c>
      <c r="DE5" s="290">
        <f t="shared" si="6"/>
        <v>0</v>
      </c>
      <c r="DF5" s="290">
        <f t="shared" si="6"/>
        <v>0</v>
      </c>
      <c r="DG5" s="290">
        <f t="shared" si="6"/>
        <v>0</v>
      </c>
      <c r="DH5" s="290">
        <f t="shared" si="6"/>
        <v>0</v>
      </c>
      <c r="DI5" s="290">
        <f t="shared" si="6"/>
        <v>0</v>
      </c>
      <c r="DJ5" s="290">
        <f t="shared" si="6"/>
        <v>0</v>
      </c>
      <c r="DK5" s="290">
        <f t="shared" si="6"/>
        <v>0</v>
      </c>
      <c r="DL5" s="290">
        <f t="shared" si="6"/>
        <v>0</v>
      </c>
      <c r="DM5" s="290">
        <f t="shared" si="6"/>
        <v>0</v>
      </c>
      <c r="DN5" s="290">
        <f t="shared" si="6"/>
        <v>0</v>
      </c>
      <c r="DO5" s="290">
        <f t="shared" si="6"/>
        <v>0</v>
      </c>
      <c r="DP5" s="290">
        <f t="shared" si="6"/>
        <v>0</v>
      </c>
      <c r="DQ5" s="290">
        <f t="shared" si="6"/>
        <v>0</v>
      </c>
      <c r="DR5" s="290">
        <f t="shared" si="6"/>
        <v>0</v>
      </c>
      <c r="DS5" s="290">
        <f t="shared" si="6"/>
        <v>0</v>
      </c>
      <c r="DT5" s="290">
        <f t="shared" si="6"/>
        <v>0</v>
      </c>
      <c r="DU5" s="290">
        <f t="shared" si="6"/>
        <v>0</v>
      </c>
      <c r="DV5" s="290">
        <f t="shared" si="6"/>
        <v>0</v>
      </c>
      <c r="DW5" s="286">
        <f t="shared" si="1"/>
        <v>4762688318.6400003</v>
      </c>
      <c r="DX5" s="286">
        <f t="shared" si="1"/>
        <v>4432853385.4000006</v>
      </c>
      <c r="DY5" s="286">
        <f t="shared" si="1"/>
        <v>1488512937</v>
      </c>
      <c r="DZ5" s="286">
        <f t="shared" si="1"/>
        <v>1481096386.5599999</v>
      </c>
      <c r="EA5" s="291">
        <f>+SUM(DW6:DW8)-DW5</f>
        <v>0</v>
      </c>
      <c r="EB5" s="292">
        <f>+DW5-B5</f>
        <v>0</v>
      </c>
    </row>
    <row r="6" spans="1:132" ht="45.75" customHeight="1" x14ac:dyDescent="0.2">
      <c r="A6" s="293" t="s">
        <v>1984</v>
      </c>
      <c r="B6" s="294">
        <f>DW5</f>
        <v>4762688318.6400003</v>
      </c>
      <c r="C6" s="295">
        <f>500000000/3</f>
        <v>166666666.66666666</v>
      </c>
      <c r="D6" s="295">
        <f>248155066.76/3</f>
        <v>82718355.586666659</v>
      </c>
      <c r="E6" s="295">
        <f>134577581/3</f>
        <v>44859193.666666664</v>
      </c>
      <c r="F6" s="295">
        <f>127161031/3</f>
        <v>42387010.333333336</v>
      </c>
      <c r="G6" s="295">
        <f>78000000/3</f>
        <v>26000000</v>
      </c>
      <c r="H6" s="295">
        <v>0</v>
      </c>
      <c r="I6" s="295">
        <v>0</v>
      </c>
      <c r="J6" s="295">
        <v>0</v>
      </c>
      <c r="K6" s="295">
        <v>0</v>
      </c>
      <c r="L6" s="295">
        <v>0</v>
      </c>
      <c r="M6" s="295">
        <v>0</v>
      </c>
      <c r="N6" s="295">
        <v>0</v>
      </c>
      <c r="O6" s="295">
        <v>0</v>
      </c>
      <c r="P6" s="295">
        <v>0</v>
      </c>
      <c r="Q6" s="295">
        <v>0</v>
      </c>
      <c r="R6" s="295">
        <v>0</v>
      </c>
      <c r="S6" s="295">
        <v>0</v>
      </c>
      <c r="T6" s="295">
        <v>0</v>
      </c>
      <c r="U6" s="295">
        <v>0</v>
      </c>
      <c r="V6" s="295">
        <v>0</v>
      </c>
      <c r="W6" s="295">
        <v>0</v>
      </c>
      <c r="X6" s="295">
        <v>0</v>
      </c>
      <c r="Y6" s="295">
        <v>0</v>
      </c>
      <c r="Z6" s="295">
        <v>0</v>
      </c>
      <c r="AA6" s="295">
        <v>0</v>
      </c>
      <c r="AB6" s="295">
        <v>0</v>
      </c>
      <c r="AC6" s="295">
        <v>0</v>
      </c>
      <c r="AD6" s="295">
        <v>0</v>
      </c>
      <c r="AE6" s="295">
        <v>0</v>
      </c>
      <c r="AF6" s="295">
        <v>0</v>
      </c>
      <c r="AG6" s="295">
        <v>0</v>
      </c>
      <c r="AH6" s="295">
        <v>0</v>
      </c>
      <c r="AI6" s="295">
        <v>0</v>
      </c>
      <c r="AJ6" s="295">
        <v>0</v>
      </c>
      <c r="AK6" s="295">
        <v>0</v>
      </c>
      <c r="AL6" s="295">
        <v>0</v>
      </c>
      <c r="AM6" s="295">
        <v>0</v>
      </c>
      <c r="AN6" s="295">
        <v>0</v>
      </c>
      <c r="AO6" s="295">
        <v>0</v>
      </c>
      <c r="AP6" s="295">
        <v>0</v>
      </c>
      <c r="AQ6" s="295">
        <v>0</v>
      </c>
      <c r="AR6" s="295">
        <v>0</v>
      </c>
      <c r="AS6" s="295">
        <v>0</v>
      </c>
      <c r="AT6" s="295">
        <v>0</v>
      </c>
      <c r="AU6" s="295">
        <v>0</v>
      </c>
      <c r="AV6" s="295">
        <v>0</v>
      </c>
      <c r="AW6" s="295">
        <v>0</v>
      </c>
      <c r="AX6" s="295">
        <v>0</v>
      </c>
      <c r="AY6" s="295">
        <v>0</v>
      </c>
      <c r="AZ6" s="295">
        <v>0</v>
      </c>
      <c r="BA6" s="295">
        <v>0</v>
      </c>
      <c r="BB6" s="295">
        <v>0</v>
      </c>
      <c r="BC6" s="295">
        <f>180582509.44+2012729780+1991376029.2</f>
        <v>4184688318.6400003</v>
      </c>
      <c r="BD6" s="295">
        <f>180592509.44+2012729780+1991376029.2</f>
        <v>4184698318.6400003</v>
      </c>
      <c r="BE6" s="295">
        <f>180592509.44+494353346.64+678989499.92</f>
        <v>1353935356</v>
      </c>
      <c r="BF6" s="295">
        <f>180592509+494353346.64+678989499.92</f>
        <v>1353935355.5599999</v>
      </c>
      <c r="BG6" s="295">
        <v>0</v>
      </c>
      <c r="BH6" s="295">
        <v>0</v>
      </c>
      <c r="BI6" s="295">
        <v>0</v>
      </c>
      <c r="BJ6" s="295">
        <v>0</v>
      </c>
      <c r="BK6" s="295">
        <v>0</v>
      </c>
      <c r="BL6" s="295">
        <v>0</v>
      </c>
      <c r="BM6" s="295">
        <v>0</v>
      </c>
      <c r="BN6" s="295">
        <v>0</v>
      </c>
      <c r="BO6" s="295">
        <v>0</v>
      </c>
      <c r="BP6" s="295">
        <v>0</v>
      </c>
      <c r="BQ6" s="295">
        <v>0</v>
      </c>
      <c r="BR6" s="295">
        <v>0</v>
      </c>
      <c r="BS6" s="295">
        <v>0</v>
      </c>
      <c r="BT6" s="295">
        <v>0</v>
      </c>
      <c r="BU6" s="295">
        <v>0</v>
      </c>
      <c r="BV6" s="295">
        <v>0</v>
      </c>
      <c r="BW6" s="295">
        <v>0</v>
      </c>
      <c r="BX6" s="295">
        <v>0</v>
      </c>
      <c r="BY6" s="295">
        <v>0</v>
      </c>
      <c r="BZ6" s="295">
        <v>0</v>
      </c>
      <c r="CA6" s="295">
        <v>0</v>
      </c>
      <c r="CB6" s="295">
        <v>0</v>
      </c>
      <c r="CC6" s="295">
        <v>0</v>
      </c>
      <c r="CD6" s="295">
        <v>0</v>
      </c>
      <c r="CE6" s="295">
        <v>0</v>
      </c>
      <c r="CF6" s="295">
        <v>0</v>
      </c>
      <c r="CG6" s="295">
        <v>0</v>
      </c>
      <c r="CH6" s="295">
        <v>0</v>
      </c>
      <c r="CI6" s="295">
        <v>0</v>
      </c>
      <c r="CJ6" s="295">
        <v>0</v>
      </c>
      <c r="CK6" s="295">
        <v>0</v>
      </c>
      <c r="CL6" s="295">
        <v>0</v>
      </c>
      <c r="CM6" s="295">
        <v>0</v>
      </c>
      <c r="CN6" s="295">
        <v>0</v>
      </c>
      <c r="CO6" s="295">
        <v>0</v>
      </c>
      <c r="CP6" s="295">
        <v>0</v>
      </c>
      <c r="CQ6" s="295">
        <v>0</v>
      </c>
      <c r="CR6" s="295">
        <v>0</v>
      </c>
      <c r="CS6" s="295">
        <v>0</v>
      </c>
      <c r="CT6" s="295">
        <v>0</v>
      </c>
      <c r="CU6" s="295">
        <v>0</v>
      </c>
      <c r="CV6" s="295">
        <v>0</v>
      </c>
      <c r="CW6" s="295">
        <v>0</v>
      </c>
      <c r="CX6" s="295">
        <v>0</v>
      </c>
      <c r="CY6" s="295">
        <v>0</v>
      </c>
      <c r="CZ6" s="295">
        <v>0</v>
      </c>
      <c r="DA6" s="295">
        <v>0</v>
      </c>
      <c r="DB6" s="295">
        <v>0</v>
      </c>
      <c r="DC6" s="295">
        <v>0</v>
      </c>
      <c r="DD6" s="295">
        <v>0</v>
      </c>
      <c r="DE6" s="295">
        <v>0</v>
      </c>
      <c r="DF6" s="295">
        <v>0</v>
      </c>
      <c r="DG6" s="295">
        <v>0</v>
      </c>
      <c r="DH6" s="295">
        <v>0</v>
      </c>
      <c r="DI6" s="295">
        <v>0</v>
      </c>
      <c r="DJ6" s="295">
        <v>0</v>
      </c>
      <c r="DK6" s="295">
        <v>0</v>
      </c>
      <c r="DL6" s="295">
        <v>0</v>
      </c>
      <c r="DM6" s="295">
        <v>0</v>
      </c>
      <c r="DN6" s="295">
        <v>0</v>
      </c>
      <c r="DO6" s="295">
        <v>0</v>
      </c>
      <c r="DP6" s="295">
        <v>0</v>
      </c>
      <c r="DQ6" s="295">
        <v>0</v>
      </c>
      <c r="DR6" s="295">
        <v>0</v>
      </c>
      <c r="DS6" s="295">
        <v>0</v>
      </c>
      <c r="DT6" s="295">
        <v>0</v>
      </c>
      <c r="DU6" s="295">
        <v>0</v>
      </c>
      <c r="DV6" s="295">
        <v>0</v>
      </c>
      <c r="DW6" s="296">
        <f t="shared" si="1"/>
        <v>4377354985.3066673</v>
      </c>
      <c r="DX6" s="296">
        <f t="shared" si="1"/>
        <v>4267416674.2266669</v>
      </c>
      <c r="DY6" s="296">
        <f t="shared" si="1"/>
        <v>1398794549.6666667</v>
      </c>
      <c r="DZ6" s="296">
        <f t="shared" si="1"/>
        <v>1396322365.8933332</v>
      </c>
      <c r="EA6" s="287"/>
    </row>
    <row r="7" spans="1:132" ht="45.75" customHeight="1" x14ac:dyDescent="0.2">
      <c r="A7" s="297" t="s">
        <v>1985</v>
      </c>
      <c r="B7" s="298"/>
      <c r="C7" s="295">
        <f t="shared" ref="C7:C8" si="7">500000000/3</f>
        <v>166666666.66666666</v>
      </c>
      <c r="D7" s="295">
        <f t="shared" ref="D7:D8" si="8">248155066.76/3</f>
        <v>82718355.586666659</v>
      </c>
      <c r="E7" s="295">
        <f t="shared" ref="E7" si="9">134577581/3</f>
        <v>44859193.666666664</v>
      </c>
      <c r="F7" s="295">
        <f t="shared" ref="F7:F8" si="10">127161031/3</f>
        <v>42387010.333333336</v>
      </c>
      <c r="G7" s="295">
        <f t="shared" ref="G7:G8" si="11">78000000/3</f>
        <v>26000000</v>
      </c>
      <c r="H7" s="299">
        <v>0</v>
      </c>
      <c r="I7" s="299">
        <v>0</v>
      </c>
      <c r="J7" s="299">
        <v>0</v>
      </c>
      <c r="K7" s="299">
        <v>0</v>
      </c>
      <c r="L7" s="299">
        <v>0</v>
      </c>
      <c r="M7" s="299">
        <v>0</v>
      </c>
      <c r="N7" s="299">
        <v>0</v>
      </c>
      <c r="O7" s="299">
        <v>0</v>
      </c>
      <c r="P7" s="299">
        <v>0</v>
      </c>
      <c r="Q7" s="299">
        <v>0</v>
      </c>
      <c r="R7" s="299">
        <v>0</v>
      </c>
      <c r="S7" s="299">
        <v>0</v>
      </c>
      <c r="T7" s="299">
        <v>0</v>
      </c>
      <c r="U7" s="299">
        <v>0</v>
      </c>
      <c r="V7" s="299">
        <v>0</v>
      </c>
      <c r="W7" s="299">
        <v>0</v>
      </c>
      <c r="X7" s="299">
        <v>0</v>
      </c>
      <c r="Y7" s="299">
        <v>0</v>
      </c>
      <c r="Z7" s="299">
        <v>0</v>
      </c>
      <c r="AA7" s="299">
        <v>0</v>
      </c>
      <c r="AB7" s="299">
        <v>0</v>
      </c>
      <c r="AC7" s="299">
        <v>0</v>
      </c>
      <c r="AD7" s="299">
        <v>0</v>
      </c>
      <c r="AE7" s="299">
        <v>0</v>
      </c>
      <c r="AF7" s="299">
        <v>0</v>
      </c>
      <c r="AG7" s="299">
        <v>0</v>
      </c>
      <c r="AH7" s="299">
        <v>0</v>
      </c>
      <c r="AI7" s="299">
        <v>0</v>
      </c>
      <c r="AJ7" s="299">
        <v>0</v>
      </c>
      <c r="AK7" s="299">
        <v>0</v>
      </c>
      <c r="AL7" s="299">
        <v>0</v>
      </c>
      <c r="AM7" s="299">
        <v>0</v>
      </c>
      <c r="AN7" s="299">
        <v>0</v>
      </c>
      <c r="AO7" s="299">
        <v>0</v>
      </c>
      <c r="AP7" s="299">
        <v>0</v>
      </c>
      <c r="AQ7" s="300">
        <v>0</v>
      </c>
      <c r="AR7" s="300">
        <v>0</v>
      </c>
      <c r="AS7" s="300">
        <v>0</v>
      </c>
      <c r="AT7" s="300">
        <v>0</v>
      </c>
      <c r="AU7" s="300">
        <v>0</v>
      </c>
      <c r="AV7" s="300">
        <v>0</v>
      </c>
      <c r="AW7" s="300">
        <v>0</v>
      </c>
      <c r="AX7" s="300">
        <v>0</v>
      </c>
      <c r="AY7" s="300">
        <v>0</v>
      </c>
      <c r="AZ7" s="300">
        <v>0</v>
      </c>
      <c r="BA7" s="300">
        <v>0</v>
      </c>
      <c r="BB7" s="300">
        <v>0</v>
      </c>
      <c r="BC7" s="300"/>
      <c r="BD7" s="300"/>
      <c r="BE7" s="300"/>
      <c r="BF7" s="300"/>
      <c r="BG7" s="300">
        <v>0</v>
      </c>
      <c r="BH7" s="300">
        <v>0</v>
      </c>
      <c r="BI7" s="300">
        <v>0</v>
      </c>
      <c r="BJ7" s="300">
        <v>0</v>
      </c>
      <c r="BK7" s="300">
        <v>0</v>
      </c>
      <c r="BL7" s="300">
        <v>0</v>
      </c>
      <c r="BM7" s="300">
        <v>0</v>
      </c>
      <c r="BN7" s="300">
        <v>0</v>
      </c>
      <c r="BO7" s="300">
        <v>0</v>
      </c>
      <c r="BP7" s="300">
        <v>0</v>
      </c>
      <c r="BQ7" s="300">
        <v>0</v>
      </c>
      <c r="BR7" s="300">
        <v>0</v>
      </c>
      <c r="BS7" s="295">
        <v>0</v>
      </c>
      <c r="BT7" s="295">
        <v>0</v>
      </c>
      <c r="BU7" s="295">
        <v>0</v>
      </c>
      <c r="BV7" s="295">
        <v>0</v>
      </c>
      <c r="BW7" s="300">
        <v>0</v>
      </c>
      <c r="BX7" s="300">
        <v>0</v>
      </c>
      <c r="BY7" s="300">
        <v>0</v>
      </c>
      <c r="BZ7" s="300">
        <v>0</v>
      </c>
      <c r="CA7" s="300">
        <v>0</v>
      </c>
      <c r="CB7" s="300">
        <v>0</v>
      </c>
      <c r="CC7" s="300">
        <v>0</v>
      </c>
      <c r="CD7" s="300">
        <v>0</v>
      </c>
      <c r="CE7" s="300">
        <v>0</v>
      </c>
      <c r="CF7" s="300">
        <v>0</v>
      </c>
      <c r="CG7" s="300">
        <v>0</v>
      </c>
      <c r="CH7" s="300">
        <v>0</v>
      </c>
      <c r="CI7" s="300">
        <v>0</v>
      </c>
      <c r="CJ7" s="300">
        <v>0</v>
      </c>
      <c r="CK7" s="300">
        <v>0</v>
      </c>
      <c r="CL7" s="300">
        <v>0</v>
      </c>
      <c r="CM7" s="300">
        <v>0</v>
      </c>
      <c r="CN7" s="300">
        <v>0</v>
      </c>
      <c r="CO7" s="300">
        <v>0</v>
      </c>
      <c r="CP7" s="300">
        <v>0</v>
      </c>
      <c r="CQ7" s="300">
        <v>0</v>
      </c>
      <c r="CR7" s="300">
        <v>0</v>
      </c>
      <c r="CS7" s="300">
        <v>0</v>
      </c>
      <c r="CT7" s="300">
        <v>0</v>
      </c>
      <c r="CU7" s="300">
        <v>0</v>
      </c>
      <c r="CV7" s="300">
        <v>0</v>
      </c>
      <c r="CW7" s="300">
        <v>0</v>
      </c>
      <c r="CX7" s="300">
        <v>0</v>
      </c>
      <c r="CY7" s="300">
        <v>0</v>
      </c>
      <c r="CZ7" s="300">
        <v>0</v>
      </c>
      <c r="DA7" s="300">
        <v>0</v>
      </c>
      <c r="DB7" s="300">
        <v>0</v>
      </c>
      <c r="DC7" s="300">
        <v>0</v>
      </c>
      <c r="DD7" s="300">
        <v>0</v>
      </c>
      <c r="DE7" s="300">
        <v>0</v>
      </c>
      <c r="DF7" s="300">
        <v>0</v>
      </c>
      <c r="DG7" s="300">
        <v>0</v>
      </c>
      <c r="DH7" s="300">
        <v>0</v>
      </c>
      <c r="DI7" s="300">
        <v>0</v>
      </c>
      <c r="DJ7" s="300">
        <v>0</v>
      </c>
      <c r="DK7" s="300">
        <v>0</v>
      </c>
      <c r="DL7" s="300">
        <v>0</v>
      </c>
      <c r="DM7" s="300">
        <v>0</v>
      </c>
      <c r="DN7" s="300">
        <v>0</v>
      </c>
      <c r="DO7" s="300">
        <v>0</v>
      </c>
      <c r="DP7" s="300">
        <v>0</v>
      </c>
      <c r="DQ7" s="300">
        <v>0</v>
      </c>
      <c r="DR7" s="300">
        <v>0</v>
      </c>
      <c r="DS7" s="300">
        <v>0</v>
      </c>
      <c r="DT7" s="300">
        <v>0</v>
      </c>
      <c r="DU7" s="300">
        <v>0</v>
      </c>
      <c r="DV7" s="300">
        <v>0</v>
      </c>
      <c r="DW7" s="296">
        <f t="shared" si="1"/>
        <v>192666666.66666666</v>
      </c>
      <c r="DX7" s="296">
        <f t="shared" si="1"/>
        <v>82718355.586666659</v>
      </c>
      <c r="DY7" s="296">
        <f t="shared" si="1"/>
        <v>44859193.666666664</v>
      </c>
      <c r="DZ7" s="296">
        <f t="shared" si="1"/>
        <v>42387010.333333336</v>
      </c>
      <c r="EA7" s="287"/>
    </row>
    <row r="8" spans="1:132" ht="45.75" customHeight="1" x14ac:dyDescent="0.2">
      <c r="A8" s="297" t="s">
        <v>1986</v>
      </c>
      <c r="B8" s="301"/>
      <c r="C8" s="295">
        <f t="shared" si="7"/>
        <v>166666666.66666666</v>
      </c>
      <c r="D8" s="295">
        <f t="shared" si="8"/>
        <v>82718355.586666659</v>
      </c>
      <c r="E8" s="295">
        <f>134577581/3</f>
        <v>44859193.666666664</v>
      </c>
      <c r="F8" s="295">
        <f t="shared" si="10"/>
        <v>42387010.333333336</v>
      </c>
      <c r="G8" s="295">
        <f t="shared" si="11"/>
        <v>26000000</v>
      </c>
      <c r="H8" s="299">
        <v>0</v>
      </c>
      <c r="I8" s="299">
        <v>0</v>
      </c>
      <c r="J8" s="299">
        <v>0</v>
      </c>
      <c r="K8" s="299">
        <v>0</v>
      </c>
      <c r="L8" s="299">
        <v>0</v>
      </c>
      <c r="M8" s="299">
        <v>0</v>
      </c>
      <c r="N8" s="299">
        <v>0</v>
      </c>
      <c r="O8" s="299">
        <v>0</v>
      </c>
      <c r="P8" s="299">
        <v>0</v>
      </c>
      <c r="Q8" s="299">
        <v>0</v>
      </c>
      <c r="R8" s="299">
        <v>0</v>
      </c>
      <c r="S8" s="299">
        <v>0</v>
      </c>
      <c r="T8" s="299">
        <v>0</v>
      </c>
      <c r="U8" s="299">
        <v>0</v>
      </c>
      <c r="V8" s="299">
        <v>0</v>
      </c>
      <c r="W8" s="299">
        <v>0</v>
      </c>
      <c r="X8" s="299">
        <v>0</v>
      </c>
      <c r="Y8" s="299">
        <v>0</v>
      </c>
      <c r="Z8" s="299">
        <v>0</v>
      </c>
      <c r="AA8" s="299">
        <v>0</v>
      </c>
      <c r="AB8" s="299">
        <v>0</v>
      </c>
      <c r="AC8" s="299">
        <v>0</v>
      </c>
      <c r="AD8" s="299">
        <v>0</v>
      </c>
      <c r="AE8" s="299">
        <v>0</v>
      </c>
      <c r="AF8" s="299">
        <v>0</v>
      </c>
      <c r="AG8" s="299">
        <v>0</v>
      </c>
      <c r="AH8" s="299">
        <v>0</v>
      </c>
      <c r="AI8" s="299">
        <v>0</v>
      </c>
      <c r="AJ8" s="299">
        <v>0</v>
      </c>
      <c r="AK8" s="299">
        <v>0</v>
      </c>
      <c r="AL8" s="299">
        <v>0</v>
      </c>
      <c r="AM8" s="299">
        <v>0</v>
      </c>
      <c r="AN8" s="299">
        <v>0</v>
      </c>
      <c r="AO8" s="299">
        <v>0</v>
      </c>
      <c r="AP8" s="299">
        <v>0</v>
      </c>
      <c r="AQ8" s="300">
        <v>0</v>
      </c>
      <c r="AR8" s="300">
        <v>0</v>
      </c>
      <c r="AS8" s="300">
        <v>0</v>
      </c>
      <c r="AT8" s="300">
        <v>0</v>
      </c>
      <c r="AU8" s="300">
        <v>0</v>
      </c>
      <c r="AV8" s="300">
        <v>0</v>
      </c>
      <c r="AW8" s="300">
        <v>0</v>
      </c>
      <c r="AX8" s="300">
        <v>0</v>
      </c>
      <c r="AY8" s="300">
        <v>0</v>
      </c>
      <c r="AZ8" s="300">
        <v>0</v>
      </c>
      <c r="BA8" s="300">
        <v>0</v>
      </c>
      <c r="BB8" s="300">
        <v>0</v>
      </c>
      <c r="BC8" s="300">
        <v>0</v>
      </c>
      <c r="BD8" s="300">
        <v>0</v>
      </c>
      <c r="BE8" s="300">
        <v>0</v>
      </c>
      <c r="BF8" s="300">
        <v>0</v>
      </c>
      <c r="BG8" s="300">
        <v>0</v>
      </c>
      <c r="BH8" s="300">
        <v>0</v>
      </c>
      <c r="BI8" s="300">
        <v>0</v>
      </c>
      <c r="BJ8" s="300">
        <v>0</v>
      </c>
      <c r="BK8" s="300">
        <v>0</v>
      </c>
      <c r="BL8" s="300">
        <v>0</v>
      </c>
      <c r="BM8" s="300">
        <v>0</v>
      </c>
      <c r="BN8" s="300">
        <v>0</v>
      </c>
      <c r="BO8" s="300">
        <v>0</v>
      </c>
      <c r="BP8" s="300">
        <v>0</v>
      </c>
      <c r="BQ8" s="300">
        <v>0</v>
      </c>
      <c r="BR8" s="300">
        <v>0</v>
      </c>
      <c r="BS8" s="295">
        <v>0</v>
      </c>
      <c r="BT8" s="295">
        <v>0</v>
      </c>
      <c r="BU8" s="295">
        <v>0</v>
      </c>
      <c r="BV8" s="295">
        <v>0</v>
      </c>
      <c r="BW8" s="300">
        <v>0</v>
      </c>
      <c r="BX8" s="300">
        <v>0</v>
      </c>
      <c r="BY8" s="300">
        <v>0</v>
      </c>
      <c r="BZ8" s="300">
        <v>0</v>
      </c>
      <c r="CA8" s="300">
        <v>0</v>
      </c>
      <c r="CB8" s="300">
        <v>0</v>
      </c>
      <c r="CC8" s="300">
        <v>0</v>
      </c>
      <c r="CD8" s="300">
        <v>0</v>
      </c>
      <c r="CE8" s="300">
        <v>0</v>
      </c>
      <c r="CF8" s="300">
        <v>0</v>
      </c>
      <c r="CG8" s="300">
        <v>0</v>
      </c>
      <c r="CH8" s="300">
        <v>0</v>
      </c>
      <c r="CI8" s="300">
        <v>0</v>
      </c>
      <c r="CJ8" s="300">
        <v>0</v>
      </c>
      <c r="CK8" s="300">
        <v>0</v>
      </c>
      <c r="CL8" s="300">
        <v>0</v>
      </c>
      <c r="CM8" s="300">
        <v>0</v>
      </c>
      <c r="CN8" s="300">
        <v>0</v>
      </c>
      <c r="CO8" s="300">
        <v>0</v>
      </c>
      <c r="CP8" s="300">
        <v>0</v>
      </c>
      <c r="CQ8" s="300">
        <v>0</v>
      </c>
      <c r="CR8" s="300">
        <v>0</v>
      </c>
      <c r="CS8" s="300">
        <v>0</v>
      </c>
      <c r="CT8" s="300">
        <v>0</v>
      </c>
      <c r="CU8" s="300">
        <v>0</v>
      </c>
      <c r="CV8" s="300">
        <v>0</v>
      </c>
      <c r="CW8" s="300">
        <v>0</v>
      </c>
      <c r="CX8" s="300">
        <v>0</v>
      </c>
      <c r="CY8" s="300">
        <v>0</v>
      </c>
      <c r="CZ8" s="300">
        <v>0</v>
      </c>
      <c r="DA8" s="300">
        <v>0</v>
      </c>
      <c r="DB8" s="300">
        <v>0</v>
      </c>
      <c r="DC8" s="300">
        <v>0</v>
      </c>
      <c r="DD8" s="300">
        <v>0</v>
      </c>
      <c r="DE8" s="300">
        <v>0</v>
      </c>
      <c r="DF8" s="300">
        <v>0</v>
      </c>
      <c r="DG8" s="300">
        <v>0</v>
      </c>
      <c r="DH8" s="300">
        <v>0</v>
      </c>
      <c r="DI8" s="300">
        <v>0</v>
      </c>
      <c r="DJ8" s="300">
        <v>0</v>
      </c>
      <c r="DK8" s="300">
        <v>0</v>
      </c>
      <c r="DL8" s="300">
        <v>0</v>
      </c>
      <c r="DM8" s="300">
        <v>0</v>
      </c>
      <c r="DN8" s="300">
        <v>0</v>
      </c>
      <c r="DO8" s="300">
        <v>0</v>
      </c>
      <c r="DP8" s="300">
        <v>0</v>
      </c>
      <c r="DQ8" s="300">
        <v>0</v>
      </c>
      <c r="DR8" s="300">
        <v>0</v>
      </c>
      <c r="DS8" s="300">
        <v>0</v>
      </c>
      <c r="DT8" s="300">
        <v>0</v>
      </c>
      <c r="DU8" s="300">
        <v>0</v>
      </c>
      <c r="DV8" s="300">
        <v>0</v>
      </c>
      <c r="DW8" s="296">
        <f t="shared" si="1"/>
        <v>192666666.66666666</v>
      </c>
      <c r="DX8" s="296">
        <f t="shared" si="1"/>
        <v>82718355.586666659</v>
      </c>
      <c r="DY8" s="296">
        <f t="shared" si="1"/>
        <v>44859193.666666664</v>
      </c>
      <c r="DZ8" s="296">
        <f t="shared" si="1"/>
        <v>42387010.333333336</v>
      </c>
      <c r="EA8" s="302">
        <f>+SUM(DW6:DW8)-B6</f>
        <v>0</v>
      </c>
    </row>
    <row r="9" spans="1:132" ht="45.75" customHeight="1" x14ac:dyDescent="0.2">
      <c r="A9" s="303" t="s">
        <v>1987</v>
      </c>
      <c r="B9" s="304">
        <f>SUM(B10:B12)</f>
        <v>565000000</v>
      </c>
      <c r="C9" s="304">
        <f t="shared" ref="C9:BN9" si="12">SUM(C10:C12)</f>
        <v>500000000</v>
      </c>
      <c r="D9" s="304">
        <f t="shared" si="12"/>
        <v>448310535.88</v>
      </c>
      <c r="E9" s="304">
        <f t="shared" si="12"/>
        <v>256574327.57999998</v>
      </c>
      <c r="F9" s="304">
        <f t="shared" si="12"/>
        <v>242851847.57999998</v>
      </c>
      <c r="G9" s="304">
        <f t="shared" si="12"/>
        <v>65000000</v>
      </c>
      <c r="H9" s="304">
        <f t="shared" si="12"/>
        <v>30000000</v>
      </c>
      <c r="I9" s="304">
        <f t="shared" si="12"/>
        <v>0</v>
      </c>
      <c r="J9" s="304">
        <f t="shared" si="12"/>
        <v>0</v>
      </c>
      <c r="K9" s="304">
        <f t="shared" si="12"/>
        <v>0</v>
      </c>
      <c r="L9" s="304">
        <f t="shared" si="12"/>
        <v>0</v>
      </c>
      <c r="M9" s="304">
        <f t="shared" si="12"/>
        <v>0</v>
      </c>
      <c r="N9" s="304">
        <f t="shared" si="12"/>
        <v>0</v>
      </c>
      <c r="O9" s="304">
        <f t="shared" si="12"/>
        <v>0</v>
      </c>
      <c r="P9" s="304">
        <f t="shared" si="12"/>
        <v>0</v>
      </c>
      <c r="Q9" s="304">
        <f t="shared" si="12"/>
        <v>0</v>
      </c>
      <c r="R9" s="304">
        <f t="shared" si="12"/>
        <v>0</v>
      </c>
      <c r="S9" s="304">
        <f t="shared" si="12"/>
        <v>0</v>
      </c>
      <c r="T9" s="304">
        <f t="shared" si="12"/>
        <v>0</v>
      </c>
      <c r="U9" s="304">
        <f t="shared" si="12"/>
        <v>0</v>
      </c>
      <c r="V9" s="304">
        <f t="shared" si="12"/>
        <v>0</v>
      </c>
      <c r="W9" s="304">
        <f t="shared" si="12"/>
        <v>0</v>
      </c>
      <c r="X9" s="304">
        <f t="shared" si="12"/>
        <v>0</v>
      </c>
      <c r="Y9" s="304">
        <f t="shared" si="12"/>
        <v>0</v>
      </c>
      <c r="Z9" s="304">
        <f t="shared" si="12"/>
        <v>0</v>
      </c>
      <c r="AA9" s="304">
        <f t="shared" si="12"/>
        <v>0</v>
      </c>
      <c r="AB9" s="304">
        <f t="shared" si="12"/>
        <v>0</v>
      </c>
      <c r="AC9" s="304">
        <f t="shared" si="12"/>
        <v>0</v>
      </c>
      <c r="AD9" s="304">
        <f t="shared" si="12"/>
        <v>0</v>
      </c>
      <c r="AE9" s="304">
        <f t="shared" si="12"/>
        <v>0</v>
      </c>
      <c r="AF9" s="304">
        <f t="shared" si="12"/>
        <v>0</v>
      </c>
      <c r="AG9" s="304">
        <f t="shared" si="12"/>
        <v>0</v>
      </c>
      <c r="AH9" s="304">
        <f t="shared" si="12"/>
        <v>0</v>
      </c>
      <c r="AI9" s="304">
        <f t="shared" si="12"/>
        <v>0</v>
      </c>
      <c r="AJ9" s="304">
        <f t="shared" si="12"/>
        <v>0</v>
      </c>
      <c r="AK9" s="304">
        <f t="shared" si="12"/>
        <v>0</v>
      </c>
      <c r="AL9" s="304">
        <f t="shared" si="12"/>
        <v>0</v>
      </c>
      <c r="AM9" s="304">
        <f t="shared" si="12"/>
        <v>0</v>
      </c>
      <c r="AN9" s="304">
        <f t="shared" si="12"/>
        <v>0</v>
      </c>
      <c r="AO9" s="304">
        <f t="shared" si="12"/>
        <v>0</v>
      </c>
      <c r="AP9" s="304">
        <f t="shared" si="12"/>
        <v>0</v>
      </c>
      <c r="AQ9" s="304">
        <f t="shared" si="12"/>
        <v>0</v>
      </c>
      <c r="AR9" s="304">
        <f t="shared" si="12"/>
        <v>0</v>
      </c>
      <c r="AS9" s="304">
        <f t="shared" si="12"/>
        <v>0</v>
      </c>
      <c r="AT9" s="304">
        <f t="shared" si="12"/>
        <v>0</v>
      </c>
      <c r="AU9" s="304">
        <f t="shared" si="12"/>
        <v>0</v>
      </c>
      <c r="AV9" s="304">
        <f t="shared" si="12"/>
        <v>0</v>
      </c>
      <c r="AW9" s="304">
        <f t="shared" si="12"/>
        <v>0</v>
      </c>
      <c r="AX9" s="304">
        <f t="shared" si="12"/>
        <v>0</v>
      </c>
      <c r="AY9" s="304">
        <f t="shared" si="12"/>
        <v>0</v>
      </c>
      <c r="AZ9" s="304">
        <f t="shared" si="12"/>
        <v>0</v>
      </c>
      <c r="BA9" s="304">
        <f t="shared" si="12"/>
        <v>0</v>
      </c>
      <c r="BB9" s="304">
        <f t="shared" si="12"/>
        <v>0</v>
      </c>
      <c r="BC9" s="304">
        <f t="shared" si="12"/>
        <v>0</v>
      </c>
      <c r="BD9" s="304">
        <f t="shared" si="12"/>
        <v>0</v>
      </c>
      <c r="BE9" s="304">
        <f t="shared" si="12"/>
        <v>0</v>
      </c>
      <c r="BF9" s="304">
        <f t="shared" si="12"/>
        <v>0</v>
      </c>
      <c r="BG9" s="304">
        <f t="shared" si="12"/>
        <v>0</v>
      </c>
      <c r="BH9" s="304">
        <f t="shared" si="12"/>
        <v>0</v>
      </c>
      <c r="BI9" s="304">
        <f t="shared" si="12"/>
        <v>0</v>
      </c>
      <c r="BJ9" s="304">
        <f t="shared" si="12"/>
        <v>0</v>
      </c>
      <c r="BK9" s="304">
        <f t="shared" si="12"/>
        <v>0</v>
      </c>
      <c r="BL9" s="304">
        <f t="shared" si="12"/>
        <v>0</v>
      </c>
      <c r="BM9" s="304">
        <f t="shared" si="12"/>
        <v>0</v>
      </c>
      <c r="BN9" s="304">
        <f t="shared" si="12"/>
        <v>0</v>
      </c>
      <c r="BO9" s="304">
        <f t="shared" ref="BO9:DV9" si="13">SUM(BO10:BO12)</f>
        <v>0</v>
      </c>
      <c r="BP9" s="304">
        <f t="shared" si="13"/>
        <v>0</v>
      </c>
      <c r="BQ9" s="304">
        <f t="shared" si="13"/>
        <v>0</v>
      </c>
      <c r="BR9" s="304">
        <f t="shared" si="13"/>
        <v>0</v>
      </c>
      <c r="BS9" s="304">
        <f t="shared" si="13"/>
        <v>0</v>
      </c>
      <c r="BT9" s="304">
        <f t="shared" si="13"/>
        <v>0</v>
      </c>
      <c r="BU9" s="304">
        <f t="shared" si="13"/>
        <v>0</v>
      </c>
      <c r="BV9" s="304">
        <f t="shared" si="13"/>
        <v>0</v>
      </c>
      <c r="BW9" s="304">
        <f t="shared" si="13"/>
        <v>0</v>
      </c>
      <c r="BX9" s="304">
        <f t="shared" si="13"/>
        <v>0</v>
      </c>
      <c r="BY9" s="304">
        <f t="shared" si="13"/>
        <v>0</v>
      </c>
      <c r="BZ9" s="304">
        <f t="shared" si="13"/>
        <v>0</v>
      </c>
      <c r="CA9" s="304">
        <f t="shared" si="13"/>
        <v>0</v>
      </c>
      <c r="CB9" s="304">
        <f t="shared" si="13"/>
        <v>0</v>
      </c>
      <c r="CC9" s="304">
        <f t="shared" si="13"/>
        <v>0</v>
      </c>
      <c r="CD9" s="304">
        <f t="shared" si="13"/>
        <v>0</v>
      </c>
      <c r="CE9" s="304">
        <f t="shared" si="13"/>
        <v>0</v>
      </c>
      <c r="CF9" s="304">
        <f t="shared" si="13"/>
        <v>0</v>
      </c>
      <c r="CG9" s="304">
        <f t="shared" si="13"/>
        <v>0</v>
      </c>
      <c r="CH9" s="304">
        <f t="shared" si="13"/>
        <v>0</v>
      </c>
      <c r="CI9" s="304">
        <f t="shared" si="13"/>
        <v>0</v>
      </c>
      <c r="CJ9" s="304">
        <f t="shared" si="13"/>
        <v>0</v>
      </c>
      <c r="CK9" s="304">
        <f t="shared" si="13"/>
        <v>0</v>
      </c>
      <c r="CL9" s="304">
        <f t="shared" si="13"/>
        <v>0</v>
      </c>
      <c r="CM9" s="304">
        <f t="shared" si="13"/>
        <v>0</v>
      </c>
      <c r="CN9" s="304">
        <f t="shared" si="13"/>
        <v>0</v>
      </c>
      <c r="CO9" s="304">
        <f t="shared" si="13"/>
        <v>0</v>
      </c>
      <c r="CP9" s="304">
        <f t="shared" si="13"/>
        <v>0</v>
      </c>
      <c r="CQ9" s="304">
        <f t="shared" si="13"/>
        <v>0</v>
      </c>
      <c r="CR9" s="304">
        <f t="shared" si="13"/>
        <v>0</v>
      </c>
      <c r="CS9" s="304">
        <f t="shared" si="13"/>
        <v>0</v>
      </c>
      <c r="CT9" s="304">
        <f t="shared" si="13"/>
        <v>0</v>
      </c>
      <c r="CU9" s="304">
        <f t="shared" si="13"/>
        <v>0</v>
      </c>
      <c r="CV9" s="304">
        <f t="shared" si="13"/>
        <v>0</v>
      </c>
      <c r="CW9" s="304">
        <f t="shared" si="13"/>
        <v>0</v>
      </c>
      <c r="CX9" s="304">
        <f t="shared" si="13"/>
        <v>0</v>
      </c>
      <c r="CY9" s="304">
        <f t="shared" si="13"/>
        <v>0</v>
      </c>
      <c r="CZ9" s="304">
        <f t="shared" si="13"/>
        <v>0</v>
      </c>
      <c r="DA9" s="304">
        <f t="shared" si="13"/>
        <v>0</v>
      </c>
      <c r="DB9" s="304">
        <f t="shared" si="13"/>
        <v>0</v>
      </c>
      <c r="DC9" s="304">
        <f t="shared" si="13"/>
        <v>0</v>
      </c>
      <c r="DD9" s="304">
        <f t="shared" si="13"/>
        <v>0</v>
      </c>
      <c r="DE9" s="304">
        <f t="shared" si="13"/>
        <v>0</v>
      </c>
      <c r="DF9" s="304">
        <f t="shared" si="13"/>
        <v>0</v>
      </c>
      <c r="DG9" s="304">
        <f t="shared" si="13"/>
        <v>0</v>
      </c>
      <c r="DH9" s="304">
        <f t="shared" si="13"/>
        <v>0</v>
      </c>
      <c r="DI9" s="304">
        <f t="shared" si="13"/>
        <v>0</v>
      </c>
      <c r="DJ9" s="304">
        <f t="shared" si="13"/>
        <v>0</v>
      </c>
      <c r="DK9" s="304">
        <f t="shared" si="13"/>
        <v>0</v>
      </c>
      <c r="DL9" s="304">
        <f t="shared" si="13"/>
        <v>0</v>
      </c>
      <c r="DM9" s="304">
        <f t="shared" si="13"/>
        <v>0</v>
      </c>
      <c r="DN9" s="304">
        <f t="shared" si="13"/>
        <v>0</v>
      </c>
      <c r="DO9" s="304">
        <f t="shared" si="13"/>
        <v>0</v>
      </c>
      <c r="DP9" s="304">
        <f t="shared" si="13"/>
        <v>0</v>
      </c>
      <c r="DQ9" s="304">
        <f t="shared" si="13"/>
        <v>0</v>
      </c>
      <c r="DR9" s="304">
        <f t="shared" si="13"/>
        <v>0</v>
      </c>
      <c r="DS9" s="304">
        <f t="shared" si="13"/>
        <v>0</v>
      </c>
      <c r="DT9" s="304">
        <f t="shared" si="13"/>
        <v>0</v>
      </c>
      <c r="DU9" s="304">
        <f t="shared" si="13"/>
        <v>0</v>
      </c>
      <c r="DV9" s="304">
        <f t="shared" si="13"/>
        <v>0</v>
      </c>
      <c r="DW9" s="286">
        <f t="shared" si="1"/>
        <v>565000000</v>
      </c>
      <c r="DX9" s="286">
        <f t="shared" si="1"/>
        <v>478310535.88</v>
      </c>
      <c r="DY9" s="286">
        <f t="shared" si="1"/>
        <v>256574327.57999998</v>
      </c>
      <c r="DZ9" s="286">
        <f t="shared" si="1"/>
        <v>242851847.57999998</v>
      </c>
      <c r="EA9" s="291">
        <f>+SUM(DW10:DW12)-DW9</f>
        <v>0</v>
      </c>
      <c r="EB9" s="292">
        <f>+DW9-B9</f>
        <v>0</v>
      </c>
    </row>
    <row r="10" spans="1:132" ht="45.75" customHeight="1" x14ac:dyDescent="0.2">
      <c r="A10" s="293" t="s">
        <v>1988</v>
      </c>
      <c r="B10" s="294">
        <f>DW9</f>
        <v>565000000</v>
      </c>
      <c r="C10" s="295">
        <v>166666666.66666666</v>
      </c>
      <c r="D10" s="295">
        <f>448310535.88/3</f>
        <v>149436845.29333332</v>
      </c>
      <c r="E10" s="295">
        <f>256574327.58/3</f>
        <v>85524775.859999999</v>
      </c>
      <c r="F10" s="295">
        <f>242851847.58/3</f>
        <v>80950615.859999999</v>
      </c>
      <c r="G10" s="295">
        <f>65000000/3</f>
        <v>21666666.666666668</v>
      </c>
      <c r="H10" s="295">
        <f>30000000/3</f>
        <v>10000000</v>
      </c>
      <c r="I10" s="295">
        <v>0</v>
      </c>
      <c r="J10" s="295">
        <v>0</v>
      </c>
      <c r="K10" s="295">
        <v>0</v>
      </c>
      <c r="L10" s="295">
        <v>0</v>
      </c>
      <c r="M10" s="295">
        <v>0</v>
      </c>
      <c r="N10" s="295">
        <v>0</v>
      </c>
      <c r="O10" s="295">
        <v>0</v>
      </c>
      <c r="P10" s="295">
        <v>0</v>
      </c>
      <c r="Q10" s="295">
        <v>0</v>
      </c>
      <c r="R10" s="295">
        <v>0</v>
      </c>
      <c r="S10" s="295">
        <v>0</v>
      </c>
      <c r="T10" s="295">
        <v>0</v>
      </c>
      <c r="U10" s="295">
        <v>0</v>
      </c>
      <c r="V10" s="295">
        <v>0</v>
      </c>
      <c r="W10" s="295">
        <v>0</v>
      </c>
      <c r="X10" s="295">
        <v>0</v>
      </c>
      <c r="Y10" s="295">
        <v>0</v>
      </c>
      <c r="Z10" s="295">
        <v>0</v>
      </c>
      <c r="AA10" s="295">
        <v>0</v>
      </c>
      <c r="AB10" s="295">
        <v>0</v>
      </c>
      <c r="AC10" s="295">
        <v>0</v>
      </c>
      <c r="AD10" s="295">
        <v>0</v>
      </c>
      <c r="AE10" s="295">
        <v>0</v>
      </c>
      <c r="AF10" s="295">
        <v>0</v>
      </c>
      <c r="AG10" s="295">
        <v>0</v>
      </c>
      <c r="AH10" s="295">
        <v>0</v>
      </c>
      <c r="AI10" s="295">
        <v>0</v>
      </c>
      <c r="AJ10" s="295">
        <v>0</v>
      </c>
      <c r="AK10" s="295">
        <v>0</v>
      </c>
      <c r="AL10" s="295">
        <v>0</v>
      </c>
      <c r="AM10" s="295">
        <v>0</v>
      </c>
      <c r="AN10" s="295">
        <v>0</v>
      </c>
      <c r="AO10" s="295">
        <v>0</v>
      </c>
      <c r="AP10" s="295">
        <v>0</v>
      </c>
      <c r="AQ10" s="295">
        <v>0</v>
      </c>
      <c r="AR10" s="295">
        <v>0</v>
      </c>
      <c r="AS10" s="295">
        <v>0</v>
      </c>
      <c r="AT10" s="295">
        <v>0</v>
      </c>
      <c r="AU10" s="295">
        <v>0</v>
      </c>
      <c r="AV10" s="295">
        <v>0</v>
      </c>
      <c r="AW10" s="295">
        <v>0</v>
      </c>
      <c r="AX10" s="295">
        <v>0</v>
      </c>
      <c r="AY10" s="295">
        <v>0</v>
      </c>
      <c r="AZ10" s="295">
        <v>0</v>
      </c>
      <c r="BA10" s="295">
        <v>0</v>
      </c>
      <c r="BB10" s="295">
        <v>0</v>
      </c>
      <c r="BC10" s="295">
        <v>0</v>
      </c>
      <c r="BD10" s="295">
        <v>0</v>
      </c>
      <c r="BE10" s="295">
        <v>0</v>
      </c>
      <c r="BF10" s="295">
        <v>0</v>
      </c>
      <c r="BG10" s="295">
        <v>0</v>
      </c>
      <c r="BH10" s="295">
        <v>0</v>
      </c>
      <c r="BI10" s="295">
        <v>0</v>
      </c>
      <c r="BJ10" s="295">
        <v>0</v>
      </c>
      <c r="BK10" s="295">
        <v>0</v>
      </c>
      <c r="BL10" s="295">
        <v>0</v>
      </c>
      <c r="BM10" s="295">
        <v>0</v>
      </c>
      <c r="BN10" s="295">
        <v>0</v>
      </c>
      <c r="BO10" s="295">
        <v>0</v>
      </c>
      <c r="BP10" s="295">
        <v>0</v>
      </c>
      <c r="BQ10" s="295">
        <v>0</v>
      </c>
      <c r="BR10" s="295">
        <v>0</v>
      </c>
      <c r="BS10" s="295">
        <v>0</v>
      </c>
      <c r="BT10" s="295">
        <v>0</v>
      </c>
      <c r="BU10" s="295">
        <v>0</v>
      </c>
      <c r="BV10" s="295">
        <v>0</v>
      </c>
      <c r="BW10" s="295">
        <v>0</v>
      </c>
      <c r="BX10" s="295">
        <v>0</v>
      </c>
      <c r="BY10" s="295">
        <v>0</v>
      </c>
      <c r="BZ10" s="295">
        <v>0</v>
      </c>
      <c r="CA10" s="295">
        <v>0</v>
      </c>
      <c r="CB10" s="295">
        <v>0</v>
      </c>
      <c r="CC10" s="295">
        <v>0</v>
      </c>
      <c r="CD10" s="295">
        <v>0</v>
      </c>
      <c r="CE10" s="295">
        <v>0</v>
      </c>
      <c r="CF10" s="295">
        <v>0</v>
      </c>
      <c r="CG10" s="295">
        <v>0</v>
      </c>
      <c r="CH10" s="295">
        <v>0</v>
      </c>
      <c r="CI10" s="295">
        <v>0</v>
      </c>
      <c r="CJ10" s="295">
        <v>0</v>
      </c>
      <c r="CK10" s="295">
        <v>0</v>
      </c>
      <c r="CL10" s="295">
        <v>0</v>
      </c>
      <c r="CM10" s="295">
        <v>0</v>
      </c>
      <c r="CN10" s="295">
        <v>0</v>
      </c>
      <c r="CO10" s="295">
        <v>0</v>
      </c>
      <c r="CP10" s="295">
        <v>0</v>
      </c>
      <c r="CQ10" s="295">
        <v>0</v>
      </c>
      <c r="CR10" s="295">
        <v>0</v>
      </c>
      <c r="CS10" s="295">
        <v>0</v>
      </c>
      <c r="CT10" s="295">
        <v>0</v>
      </c>
      <c r="CU10" s="295">
        <v>0</v>
      </c>
      <c r="CV10" s="295">
        <v>0</v>
      </c>
      <c r="CW10" s="295">
        <v>0</v>
      </c>
      <c r="CX10" s="295">
        <v>0</v>
      </c>
      <c r="CY10" s="295">
        <v>0</v>
      </c>
      <c r="CZ10" s="295">
        <v>0</v>
      </c>
      <c r="DA10" s="295">
        <v>0</v>
      </c>
      <c r="DB10" s="295">
        <v>0</v>
      </c>
      <c r="DC10" s="295">
        <v>0</v>
      </c>
      <c r="DD10" s="295">
        <v>0</v>
      </c>
      <c r="DE10" s="295">
        <v>0</v>
      </c>
      <c r="DF10" s="295">
        <v>0</v>
      </c>
      <c r="DG10" s="295">
        <v>0</v>
      </c>
      <c r="DH10" s="295">
        <v>0</v>
      </c>
      <c r="DI10" s="295">
        <v>0</v>
      </c>
      <c r="DJ10" s="295">
        <v>0</v>
      </c>
      <c r="DK10" s="295">
        <v>0</v>
      </c>
      <c r="DL10" s="295">
        <v>0</v>
      </c>
      <c r="DM10" s="295">
        <v>0</v>
      </c>
      <c r="DN10" s="295">
        <v>0</v>
      </c>
      <c r="DO10" s="295">
        <v>0</v>
      </c>
      <c r="DP10" s="295">
        <v>0</v>
      </c>
      <c r="DQ10" s="295">
        <v>0</v>
      </c>
      <c r="DR10" s="295">
        <v>0</v>
      </c>
      <c r="DS10" s="295">
        <v>0</v>
      </c>
      <c r="DT10" s="295">
        <v>0</v>
      </c>
      <c r="DU10" s="295">
        <v>0</v>
      </c>
      <c r="DV10" s="295">
        <v>0</v>
      </c>
      <c r="DW10" s="296">
        <f t="shared" si="1"/>
        <v>188333333.33333331</v>
      </c>
      <c r="DX10" s="296">
        <f t="shared" si="1"/>
        <v>159436845.29333332</v>
      </c>
      <c r="DY10" s="296">
        <f t="shared" si="1"/>
        <v>85524775.859999999</v>
      </c>
      <c r="DZ10" s="296">
        <f t="shared" si="1"/>
        <v>80950615.859999999</v>
      </c>
      <c r="EA10" s="287"/>
    </row>
    <row r="11" spans="1:132" ht="45.75" customHeight="1" x14ac:dyDescent="0.2">
      <c r="A11" s="297" t="s">
        <v>1989</v>
      </c>
      <c r="B11" s="298"/>
      <c r="C11" s="295">
        <v>166666666.66666666</v>
      </c>
      <c r="D11" s="295">
        <f>448310535.88/3</f>
        <v>149436845.29333332</v>
      </c>
      <c r="E11" s="295">
        <f t="shared" ref="E11:E12" si="14">256574327.58/3</f>
        <v>85524775.859999999</v>
      </c>
      <c r="F11" s="295">
        <f t="shared" ref="F11:F12" si="15">242851847.58/3</f>
        <v>80950615.859999999</v>
      </c>
      <c r="G11" s="295">
        <f t="shared" ref="G11:G12" si="16">65000000/3</f>
        <v>21666666.666666668</v>
      </c>
      <c r="H11" s="295">
        <f>30000000/3</f>
        <v>10000000</v>
      </c>
      <c r="I11" s="299">
        <v>0</v>
      </c>
      <c r="J11" s="299">
        <v>0</v>
      </c>
      <c r="K11" s="299">
        <v>0</v>
      </c>
      <c r="L11" s="299">
        <v>0</v>
      </c>
      <c r="M11" s="299">
        <v>0</v>
      </c>
      <c r="N11" s="299">
        <v>0</v>
      </c>
      <c r="O11" s="299">
        <v>0</v>
      </c>
      <c r="P11" s="299">
        <v>0</v>
      </c>
      <c r="Q11" s="299">
        <v>0</v>
      </c>
      <c r="R11" s="299">
        <v>0</v>
      </c>
      <c r="S11" s="299">
        <v>0</v>
      </c>
      <c r="T11" s="299">
        <v>0</v>
      </c>
      <c r="U11" s="299">
        <v>0</v>
      </c>
      <c r="V11" s="299">
        <v>0</v>
      </c>
      <c r="W11" s="299">
        <v>0</v>
      </c>
      <c r="X11" s="299">
        <v>0</v>
      </c>
      <c r="Y11" s="299">
        <v>0</v>
      </c>
      <c r="Z11" s="299">
        <v>0</v>
      </c>
      <c r="AA11" s="299">
        <v>0</v>
      </c>
      <c r="AB11" s="299">
        <v>0</v>
      </c>
      <c r="AC11" s="299">
        <v>0</v>
      </c>
      <c r="AD11" s="299">
        <v>0</v>
      </c>
      <c r="AE11" s="299">
        <v>0</v>
      </c>
      <c r="AF11" s="299">
        <v>0</v>
      </c>
      <c r="AG11" s="299">
        <v>0</v>
      </c>
      <c r="AH11" s="299">
        <v>0</v>
      </c>
      <c r="AI11" s="299">
        <v>0</v>
      </c>
      <c r="AJ11" s="299">
        <v>0</v>
      </c>
      <c r="AK11" s="299">
        <v>0</v>
      </c>
      <c r="AL11" s="299">
        <v>0</v>
      </c>
      <c r="AM11" s="300">
        <v>0</v>
      </c>
      <c r="AN11" s="300">
        <v>0</v>
      </c>
      <c r="AO11" s="300">
        <v>0</v>
      </c>
      <c r="AP11" s="300">
        <v>0</v>
      </c>
      <c r="AQ11" s="300">
        <v>0</v>
      </c>
      <c r="AR11" s="300">
        <v>0</v>
      </c>
      <c r="AS11" s="300">
        <v>0</v>
      </c>
      <c r="AT11" s="300">
        <v>0</v>
      </c>
      <c r="AU11" s="300">
        <v>0</v>
      </c>
      <c r="AV11" s="300">
        <v>0</v>
      </c>
      <c r="AW11" s="300">
        <v>0</v>
      </c>
      <c r="AX11" s="300">
        <v>0</v>
      </c>
      <c r="AY11" s="300">
        <v>0</v>
      </c>
      <c r="AZ11" s="300">
        <v>0</v>
      </c>
      <c r="BA11" s="300">
        <v>0</v>
      </c>
      <c r="BB11" s="300">
        <v>0</v>
      </c>
      <c r="BC11" s="300">
        <v>0</v>
      </c>
      <c r="BD11" s="300">
        <v>0</v>
      </c>
      <c r="BE11" s="300">
        <v>0</v>
      </c>
      <c r="BF11" s="300">
        <v>0</v>
      </c>
      <c r="BG11" s="300">
        <v>0</v>
      </c>
      <c r="BH11" s="300">
        <v>0</v>
      </c>
      <c r="BI11" s="300">
        <v>0</v>
      </c>
      <c r="BJ11" s="300">
        <v>0</v>
      </c>
      <c r="BK11" s="300">
        <v>0</v>
      </c>
      <c r="BL11" s="300">
        <v>0</v>
      </c>
      <c r="BM11" s="300">
        <v>0</v>
      </c>
      <c r="BN11" s="300">
        <v>0</v>
      </c>
      <c r="BO11" s="300">
        <v>0</v>
      </c>
      <c r="BP11" s="300">
        <v>0</v>
      </c>
      <c r="BQ11" s="300">
        <v>0</v>
      </c>
      <c r="BR11" s="300">
        <v>0</v>
      </c>
      <c r="BS11" s="295">
        <v>0</v>
      </c>
      <c r="BT11" s="295">
        <v>0</v>
      </c>
      <c r="BU11" s="295">
        <v>0</v>
      </c>
      <c r="BV11" s="295">
        <v>0</v>
      </c>
      <c r="BW11" s="300">
        <v>0</v>
      </c>
      <c r="BX11" s="300">
        <v>0</v>
      </c>
      <c r="BY11" s="300">
        <v>0</v>
      </c>
      <c r="BZ11" s="300">
        <v>0</v>
      </c>
      <c r="CA11" s="300">
        <v>0</v>
      </c>
      <c r="CB11" s="300">
        <v>0</v>
      </c>
      <c r="CC11" s="300">
        <v>0</v>
      </c>
      <c r="CD11" s="300">
        <v>0</v>
      </c>
      <c r="CE11" s="300">
        <v>0</v>
      </c>
      <c r="CF11" s="300">
        <v>0</v>
      </c>
      <c r="CG11" s="300">
        <v>0</v>
      </c>
      <c r="CH11" s="300">
        <v>0</v>
      </c>
      <c r="CI11" s="300">
        <v>0</v>
      </c>
      <c r="CJ11" s="300">
        <v>0</v>
      </c>
      <c r="CK11" s="300">
        <v>0</v>
      </c>
      <c r="CL11" s="300">
        <v>0</v>
      </c>
      <c r="CM11" s="300">
        <v>0</v>
      </c>
      <c r="CN11" s="300">
        <v>0</v>
      </c>
      <c r="CO11" s="300">
        <v>0</v>
      </c>
      <c r="CP11" s="300">
        <v>0</v>
      </c>
      <c r="CQ11" s="300">
        <v>0</v>
      </c>
      <c r="CR11" s="300">
        <v>0</v>
      </c>
      <c r="CS11" s="300">
        <v>0</v>
      </c>
      <c r="CT11" s="300">
        <v>0</v>
      </c>
      <c r="CU11" s="300">
        <v>0</v>
      </c>
      <c r="CV11" s="300">
        <v>0</v>
      </c>
      <c r="CW11" s="300">
        <v>0</v>
      </c>
      <c r="CX11" s="300">
        <v>0</v>
      </c>
      <c r="CY11" s="300">
        <v>0</v>
      </c>
      <c r="CZ11" s="300">
        <v>0</v>
      </c>
      <c r="DA11" s="300">
        <v>0</v>
      </c>
      <c r="DB11" s="300">
        <v>0</v>
      </c>
      <c r="DC11" s="300">
        <v>0</v>
      </c>
      <c r="DD11" s="300">
        <v>0</v>
      </c>
      <c r="DE11" s="300">
        <v>0</v>
      </c>
      <c r="DF11" s="300">
        <v>0</v>
      </c>
      <c r="DG11" s="300">
        <v>0</v>
      </c>
      <c r="DH11" s="300">
        <v>0</v>
      </c>
      <c r="DI11" s="300">
        <v>0</v>
      </c>
      <c r="DJ11" s="300">
        <v>0</v>
      </c>
      <c r="DK11" s="300">
        <v>0</v>
      </c>
      <c r="DL11" s="300">
        <v>0</v>
      </c>
      <c r="DM11" s="300">
        <v>0</v>
      </c>
      <c r="DN11" s="300">
        <v>0</v>
      </c>
      <c r="DO11" s="300">
        <v>0</v>
      </c>
      <c r="DP11" s="300">
        <v>0</v>
      </c>
      <c r="DQ11" s="300">
        <v>0</v>
      </c>
      <c r="DR11" s="300">
        <v>0</v>
      </c>
      <c r="DS11" s="300">
        <v>0</v>
      </c>
      <c r="DT11" s="300">
        <v>0</v>
      </c>
      <c r="DU11" s="300">
        <v>0</v>
      </c>
      <c r="DV11" s="300">
        <v>0</v>
      </c>
      <c r="DW11" s="296">
        <f t="shared" si="1"/>
        <v>188333333.33333331</v>
      </c>
      <c r="DX11" s="296">
        <f t="shared" si="1"/>
        <v>159436845.29333332</v>
      </c>
      <c r="DY11" s="296">
        <f t="shared" si="1"/>
        <v>85524775.859999999</v>
      </c>
      <c r="DZ11" s="296">
        <f t="shared" si="1"/>
        <v>80950615.859999999</v>
      </c>
      <c r="EA11" s="287"/>
    </row>
    <row r="12" spans="1:132" ht="45.75" customHeight="1" x14ac:dyDescent="0.2">
      <c r="A12" s="293" t="s">
        <v>1990</v>
      </c>
      <c r="B12" s="301"/>
      <c r="C12" s="295">
        <v>166666666.66666666</v>
      </c>
      <c r="D12" s="295">
        <f>448310535.88/3</f>
        <v>149436845.29333332</v>
      </c>
      <c r="E12" s="295">
        <f t="shared" si="14"/>
        <v>85524775.859999999</v>
      </c>
      <c r="F12" s="295">
        <f t="shared" si="15"/>
        <v>80950615.859999999</v>
      </c>
      <c r="G12" s="295">
        <f t="shared" si="16"/>
        <v>21666666.666666668</v>
      </c>
      <c r="H12" s="295">
        <f>30000000/3</f>
        <v>10000000</v>
      </c>
      <c r="I12" s="295">
        <v>0</v>
      </c>
      <c r="J12" s="295">
        <v>0</v>
      </c>
      <c r="K12" s="295">
        <v>0</v>
      </c>
      <c r="L12" s="295">
        <v>0</v>
      </c>
      <c r="M12" s="295">
        <v>0</v>
      </c>
      <c r="N12" s="295">
        <v>0</v>
      </c>
      <c r="O12" s="295">
        <v>0</v>
      </c>
      <c r="P12" s="295">
        <v>0</v>
      </c>
      <c r="Q12" s="295">
        <v>0</v>
      </c>
      <c r="R12" s="295">
        <v>0</v>
      </c>
      <c r="S12" s="295">
        <v>0</v>
      </c>
      <c r="T12" s="295">
        <v>0</v>
      </c>
      <c r="U12" s="295">
        <v>0</v>
      </c>
      <c r="V12" s="295">
        <v>0</v>
      </c>
      <c r="W12" s="295">
        <v>0</v>
      </c>
      <c r="X12" s="295">
        <v>0</v>
      </c>
      <c r="Y12" s="295">
        <v>0</v>
      </c>
      <c r="Z12" s="295">
        <v>0</v>
      </c>
      <c r="AA12" s="295">
        <v>0</v>
      </c>
      <c r="AB12" s="295">
        <v>0</v>
      </c>
      <c r="AC12" s="295">
        <v>0</v>
      </c>
      <c r="AD12" s="295">
        <v>0</v>
      </c>
      <c r="AE12" s="295">
        <v>0</v>
      </c>
      <c r="AF12" s="295">
        <v>0</v>
      </c>
      <c r="AG12" s="295">
        <v>0</v>
      </c>
      <c r="AH12" s="295">
        <v>0</v>
      </c>
      <c r="AI12" s="295">
        <v>0</v>
      </c>
      <c r="AJ12" s="295">
        <v>0</v>
      </c>
      <c r="AK12" s="295">
        <v>0</v>
      </c>
      <c r="AL12" s="295">
        <v>0</v>
      </c>
      <c r="AM12" s="295">
        <v>0</v>
      </c>
      <c r="AN12" s="295">
        <v>0</v>
      </c>
      <c r="AO12" s="295">
        <v>0</v>
      </c>
      <c r="AP12" s="295">
        <v>0</v>
      </c>
      <c r="AQ12" s="295">
        <v>0</v>
      </c>
      <c r="AR12" s="295">
        <v>0</v>
      </c>
      <c r="AS12" s="295">
        <v>0</v>
      </c>
      <c r="AT12" s="295">
        <v>0</v>
      </c>
      <c r="AU12" s="295">
        <v>0</v>
      </c>
      <c r="AV12" s="295">
        <v>0</v>
      </c>
      <c r="AW12" s="295">
        <v>0</v>
      </c>
      <c r="AX12" s="295">
        <v>0</v>
      </c>
      <c r="AY12" s="295">
        <v>0</v>
      </c>
      <c r="AZ12" s="295">
        <v>0</v>
      </c>
      <c r="BA12" s="295">
        <v>0</v>
      </c>
      <c r="BB12" s="295">
        <v>0</v>
      </c>
      <c r="BC12" s="295">
        <v>0</v>
      </c>
      <c r="BD12" s="295">
        <v>0</v>
      </c>
      <c r="BE12" s="295">
        <v>0</v>
      </c>
      <c r="BF12" s="295">
        <v>0</v>
      </c>
      <c r="BG12" s="295">
        <v>0</v>
      </c>
      <c r="BH12" s="295">
        <v>0</v>
      </c>
      <c r="BI12" s="295">
        <v>0</v>
      </c>
      <c r="BJ12" s="295">
        <v>0</v>
      </c>
      <c r="BK12" s="295">
        <v>0</v>
      </c>
      <c r="BL12" s="295">
        <v>0</v>
      </c>
      <c r="BM12" s="295">
        <v>0</v>
      </c>
      <c r="BN12" s="295">
        <v>0</v>
      </c>
      <c r="BO12" s="295">
        <v>0</v>
      </c>
      <c r="BP12" s="295">
        <v>0</v>
      </c>
      <c r="BQ12" s="295">
        <v>0</v>
      </c>
      <c r="BR12" s="295">
        <v>0</v>
      </c>
      <c r="BS12" s="295">
        <v>0</v>
      </c>
      <c r="BT12" s="295">
        <v>0</v>
      </c>
      <c r="BU12" s="295">
        <v>0</v>
      </c>
      <c r="BV12" s="295">
        <v>0</v>
      </c>
      <c r="BW12" s="295">
        <v>0</v>
      </c>
      <c r="BX12" s="295">
        <v>0</v>
      </c>
      <c r="BY12" s="295">
        <v>0</v>
      </c>
      <c r="BZ12" s="295">
        <v>0</v>
      </c>
      <c r="CA12" s="295">
        <v>0</v>
      </c>
      <c r="CB12" s="295">
        <v>0</v>
      </c>
      <c r="CC12" s="295">
        <v>0</v>
      </c>
      <c r="CD12" s="295">
        <v>0</v>
      </c>
      <c r="CE12" s="295">
        <v>0</v>
      </c>
      <c r="CF12" s="295">
        <v>0</v>
      </c>
      <c r="CG12" s="295">
        <v>0</v>
      </c>
      <c r="CH12" s="295">
        <v>0</v>
      </c>
      <c r="CI12" s="295">
        <v>0</v>
      </c>
      <c r="CJ12" s="295">
        <v>0</v>
      </c>
      <c r="CK12" s="295">
        <v>0</v>
      </c>
      <c r="CL12" s="295">
        <v>0</v>
      </c>
      <c r="CM12" s="295">
        <v>0</v>
      </c>
      <c r="CN12" s="295">
        <v>0</v>
      </c>
      <c r="CO12" s="295">
        <v>0</v>
      </c>
      <c r="CP12" s="295">
        <v>0</v>
      </c>
      <c r="CQ12" s="295">
        <v>0</v>
      </c>
      <c r="CR12" s="295">
        <v>0</v>
      </c>
      <c r="CS12" s="295">
        <v>0</v>
      </c>
      <c r="CT12" s="295">
        <v>0</v>
      </c>
      <c r="CU12" s="295">
        <v>0</v>
      </c>
      <c r="CV12" s="295">
        <v>0</v>
      </c>
      <c r="CW12" s="295">
        <v>0</v>
      </c>
      <c r="CX12" s="295">
        <v>0</v>
      </c>
      <c r="CY12" s="295">
        <v>0</v>
      </c>
      <c r="CZ12" s="295">
        <v>0</v>
      </c>
      <c r="DA12" s="295">
        <v>0</v>
      </c>
      <c r="DB12" s="295">
        <v>0</v>
      </c>
      <c r="DC12" s="295">
        <v>0</v>
      </c>
      <c r="DD12" s="295">
        <v>0</v>
      </c>
      <c r="DE12" s="295">
        <v>0</v>
      </c>
      <c r="DF12" s="295">
        <v>0</v>
      </c>
      <c r="DG12" s="295">
        <v>0</v>
      </c>
      <c r="DH12" s="295">
        <v>0</v>
      </c>
      <c r="DI12" s="295">
        <v>0</v>
      </c>
      <c r="DJ12" s="295">
        <v>0</v>
      </c>
      <c r="DK12" s="295">
        <v>0</v>
      </c>
      <c r="DL12" s="295">
        <v>0</v>
      </c>
      <c r="DM12" s="295">
        <v>0</v>
      </c>
      <c r="DN12" s="295">
        <v>0</v>
      </c>
      <c r="DO12" s="295">
        <v>0</v>
      </c>
      <c r="DP12" s="295">
        <v>0</v>
      </c>
      <c r="DQ12" s="295">
        <v>0</v>
      </c>
      <c r="DR12" s="295">
        <v>0</v>
      </c>
      <c r="DS12" s="295">
        <v>0</v>
      </c>
      <c r="DT12" s="295">
        <v>0</v>
      </c>
      <c r="DU12" s="295">
        <v>0</v>
      </c>
      <c r="DV12" s="295">
        <v>0</v>
      </c>
      <c r="DW12" s="296">
        <f t="shared" si="1"/>
        <v>188333333.33333331</v>
      </c>
      <c r="DX12" s="296">
        <f t="shared" si="1"/>
        <v>159436845.29333332</v>
      </c>
      <c r="DY12" s="296">
        <f t="shared" si="1"/>
        <v>85524775.859999999</v>
      </c>
      <c r="DZ12" s="296">
        <f t="shared" si="1"/>
        <v>80950615.859999999</v>
      </c>
      <c r="EA12" s="302">
        <f>+SUM(DW10:DW12)-B10</f>
        <v>0</v>
      </c>
    </row>
    <row r="13" spans="1:132" ht="52.5" customHeight="1" x14ac:dyDescent="0.2">
      <c r="A13" s="284" t="s">
        <v>1991</v>
      </c>
      <c r="B13" s="285">
        <f t="shared" ref="B13:DV13" si="17">+B14+B17</f>
        <v>10799800864.799999</v>
      </c>
      <c r="C13" s="285">
        <f t="shared" si="17"/>
        <v>600000000</v>
      </c>
      <c r="D13" s="285">
        <f t="shared" si="17"/>
        <v>371022547.69</v>
      </c>
      <c r="E13" s="285">
        <f t="shared" si="17"/>
        <v>319423346.78999996</v>
      </c>
      <c r="F13" s="285">
        <f t="shared" si="17"/>
        <v>311013595.91999996</v>
      </c>
      <c r="G13" s="285">
        <f t="shared" si="17"/>
        <v>720000000</v>
      </c>
      <c r="H13" s="285">
        <f t="shared" si="17"/>
        <v>300000000</v>
      </c>
      <c r="I13" s="285">
        <f t="shared" si="17"/>
        <v>0</v>
      </c>
      <c r="J13" s="285">
        <f t="shared" si="17"/>
        <v>0</v>
      </c>
      <c r="K13" s="285">
        <f t="shared" si="17"/>
        <v>0</v>
      </c>
      <c r="L13" s="285">
        <f t="shared" si="17"/>
        <v>0</v>
      </c>
      <c r="M13" s="285">
        <f t="shared" si="17"/>
        <v>0</v>
      </c>
      <c r="N13" s="285">
        <f t="shared" si="17"/>
        <v>0</v>
      </c>
      <c r="O13" s="285">
        <f t="shared" si="17"/>
        <v>0</v>
      </c>
      <c r="P13" s="285">
        <f t="shared" si="17"/>
        <v>0</v>
      </c>
      <c r="Q13" s="285">
        <f t="shared" si="17"/>
        <v>0</v>
      </c>
      <c r="R13" s="285">
        <f t="shared" si="17"/>
        <v>0</v>
      </c>
      <c r="S13" s="285">
        <f t="shared" si="17"/>
        <v>0</v>
      </c>
      <c r="T13" s="285">
        <f t="shared" si="17"/>
        <v>0</v>
      </c>
      <c r="U13" s="285">
        <f t="shared" si="17"/>
        <v>0</v>
      </c>
      <c r="V13" s="285">
        <f t="shared" si="17"/>
        <v>0</v>
      </c>
      <c r="W13" s="285">
        <f t="shared" si="17"/>
        <v>0</v>
      </c>
      <c r="X13" s="285">
        <f t="shared" si="17"/>
        <v>0</v>
      </c>
      <c r="Y13" s="285">
        <f t="shared" si="17"/>
        <v>0</v>
      </c>
      <c r="Z13" s="285">
        <f t="shared" si="17"/>
        <v>0</v>
      </c>
      <c r="AA13" s="285">
        <f t="shared" si="17"/>
        <v>0</v>
      </c>
      <c r="AB13" s="285">
        <f t="shared" si="17"/>
        <v>0</v>
      </c>
      <c r="AC13" s="285">
        <f t="shared" si="17"/>
        <v>0</v>
      </c>
      <c r="AD13" s="285">
        <f t="shared" si="17"/>
        <v>0</v>
      </c>
      <c r="AE13" s="285">
        <f t="shared" si="17"/>
        <v>0</v>
      </c>
      <c r="AF13" s="285">
        <f t="shared" si="17"/>
        <v>0</v>
      </c>
      <c r="AG13" s="285">
        <f t="shared" si="17"/>
        <v>0</v>
      </c>
      <c r="AH13" s="285">
        <f t="shared" si="17"/>
        <v>0</v>
      </c>
      <c r="AI13" s="285">
        <f t="shared" si="17"/>
        <v>0</v>
      </c>
      <c r="AJ13" s="285">
        <f t="shared" si="17"/>
        <v>0</v>
      </c>
      <c r="AK13" s="285">
        <f t="shared" si="17"/>
        <v>0</v>
      </c>
      <c r="AL13" s="285">
        <f t="shared" si="17"/>
        <v>0</v>
      </c>
      <c r="AM13" s="285">
        <f t="shared" si="17"/>
        <v>0</v>
      </c>
      <c r="AN13" s="285">
        <f t="shared" si="17"/>
        <v>0</v>
      </c>
      <c r="AO13" s="285">
        <f t="shared" si="17"/>
        <v>0</v>
      </c>
      <c r="AP13" s="285">
        <f t="shared" si="17"/>
        <v>0</v>
      </c>
      <c r="AQ13" s="285">
        <f t="shared" si="17"/>
        <v>0</v>
      </c>
      <c r="AR13" s="285">
        <f t="shared" si="17"/>
        <v>0</v>
      </c>
      <c r="AS13" s="285">
        <f t="shared" si="17"/>
        <v>0</v>
      </c>
      <c r="AT13" s="285">
        <f t="shared" si="17"/>
        <v>0</v>
      </c>
      <c r="AU13" s="285">
        <f t="shared" si="17"/>
        <v>0</v>
      </c>
      <c r="AV13" s="285">
        <f t="shared" si="17"/>
        <v>0</v>
      </c>
      <c r="AW13" s="285">
        <f t="shared" si="17"/>
        <v>0</v>
      </c>
      <c r="AX13" s="285">
        <f t="shared" si="17"/>
        <v>0</v>
      </c>
      <c r="AY13" s="285">
        <f t="shared" si="17"/>
        <v>0</v>
      </c>
      <c r="AZ13" s="285">
        <f t="shared" si="17"/>
        <v>0</v>
      </c>
      <c r="BA13" s="285">
        <f t="shared" si="17"/>
        <v>0</v>
      </c>
      <c r="BB13" s="285">
        <f t="shared" si="17"/>
        <v>0</v>
      </c>
      <c r="BC13" s="285">
        <f t="shared" si="17"/>
        <v>9479800864.7999992</v>
      </c>
      <c r="BD13" s="285">
        <f t="shared" si="17"/>
        <v>9236973658.7999992</v>
      </c>
      <c r="BE13" s="285">
        <f t="shared" si="17"/>
        <v>316967488.19999999</v>
      </c>
      <c r="BF13" s="285">
        <f t="shared" si="17"/>
        <v>316967448.19999999</v>
      </c>
      <c r="BG13" s="285">
        <f t="shared" si="17"/>
        <v>0</v>
      </c>
      <c r="BH13" s="285">
        <f t="shared" si="17"/>
        <v>0</v>
      </c>
      <c r="BI13" s="285">
        <f t="shared" si="17"/>
        <v>0</v>
      </c>
      <c r="BJ13" s="285">
        <f t="shared" si="17"/>
        <v>0</v>
      </c>
      <c r="BK13" s="285">
        <f t="shared" si="17"/>
        <v>0</v>
      </c>
      <c r="BL13" s="285">
        <f t="shared" si="17"/>
        <v>0</v>
      </c>
      <c r="BM13" s="285">
        <f t="shared" si="17"/>
        <v>0</v>
      </c>
      <c r="BN13" s="285">
        <f t="shared" si="17"/>
        <v>0</v>
      </c>
      <c r="BO13" s="285">
        <f t="shared" si="17"/>
        <v>0</v>
      </c>
      <c r="BP13" s="285">
        <f t="shared" si="17"/>
        <v>0</v>
      </c>
      <c r="BQ13" s="285">
        <f t="shared" si="17"/>
        <v>0</v>
      </c>
      <c r="BR13" s="285">
        <f t="shared" si="17"/>
        <v>0</v>
      </c>
      <c r="BS13" s="285">
        <f t="shared" si="17"/>
        <v>0</v>
      </c>
      <c r="BT13" s="285"/>
      <c r="BU13" s="285"/>
      <c r="BV13" s="285"/>
      <c r="BW13" s="285">
        <f t="shared" si="17"/>
        <v>0</v>
      </c>
      <c r="BX13" s="285">
        <f t="shared" si="17"/>
        <v>0</v>
      </c>
      <c r="BY13" s="285">
        <f t="shared" si="17"/>
        <v>0</v>
      </c>
      <c r="BZ13" s="285">
        <f t="shared" si="17"/>
        <v>0</v>
      </c>
      <c r="CA13" s="285">
        <f t="shared" si="17"/>
        <v>0</v>
      </c>
      <c r="CB13" s="285">
        <f t="shared" si="17"/>
        <v>0</v>
      </c>
      <c r="CC13" s="285">
        <f t="shared" si="17"/>
        <v>0</v>
      </c>
      <c r="CD13" s="285">
        <f t="shared" si="17"/>
        <v>0</v>
      </c>
      <c r="CE13" s="285">
        <f t="shared" si="17"/>
        <v>0</v>
      </c>
      <c r="CF13" s="285">
        <f t="shared" si="17"/>
        <v>0</v>
      </c>
      <c r="CG13" s="285">
        <f t="shared" si="17"/>
        <v>0</v>
      </c>
      <c r="CH13" s="285">
        <f t="shared" si="17"/>
        <v>0</v>
      </c>
      <c r="CI13" s="285">
        <f t="shared" si="17"/>
        <v>0</v>
      </c>
      <c r="CJ13" s="285">
        <f t="shared" si="17"/>
        <v>0</v>
      </c>
      <c r="CK13" s="285">
        <f t="shared" si="17"/>
        <v>0</v>
      </c>
      <c r="CL13" s="285">
        <f t="shared" si="17"/>
        <v>0</v>
      </c>
      <c r="CM13" s="285">
        <f t="shared" si="17"/>
        <v>0</v>
      </c>
      <c r="CN13" s="285">
        <f t="shared" si="17"/>
        <v>0</v>
      </c>
      <c r="CO13" s="285">
        <f t="shared" si="17"/>
        <v>0</v>
      </c>
      <c r="CP13" s="285">
        <f t="shared" si="17"/>
        <v>0</v>
      </c>
      <c r="CQ13" s="285">
        <f t="shared" si="17"/>
        <v>0</v>
      </c>
      <c r="CR13" s="285">
        <f t="shared" si="17"/>
        <v>0</v>
      </c>
      <c r="CS13" s="285">
        <f t="shared" si="17"/>
        <v>0</v>
      </c>
      <c r="CT13" s="285">
        <f t="shared" si="17"/>
        <v>0</v>
      </c>
      <c r="CU13" s="285">
        <f t="shared" si="17"/>
        <v>0</v>
      </c>
      <c r="CV13" s="285">
        <f t="shared" si="17"/>
        <v>0</v>
      </c>
      <c r="CW13" s="285">
        <f t="shared" si="17"/>
        <v>0</v>
      </c>
      <c r="CX13" s="285">
        <f t="shared" si="17"/>
        <v>0</v>
      </c>
      <c r="CY13" s="285">
        <f t="shared" si="17"/>
        <v>0</v>
      </c>
      <c r="CZ13" s="285">
        <f t="shared" si="17"/>
        <v>0</v>
      </c>
      <c r="DA13" s="285">
        <f t="shared" si="17"/>
        <v>0</v>
      </c>
      <c r="DB13" s="285">
        <f t="shared" si="17"/>
        <v>0</v>
      </c>
      <c r="DC13" s="285">
        <f t="shared" si="17"/>
        <v>0</v>
      </c>
      <c r="DD13" s="285">
        <f t="shared" si="17"/>
        <v>0</v>
      </c>
      <c r="DE13" s="285">
        <f t="shared" si="17"/>
        <v>0</v>
      </c>
      <c r="DF13" s="285">
        <f t="shared" si="17"/>
        <v>0</v>
      </c>
      <c r="DG13" s="285">
        <f t="shared" si="17"/>
        <v>0</v>
      </c>
      <c r="DH13" s="285">
        <f t="shared" si="17"/>
        <v>0</v>
      </c>
      <c r="DI13" s="285">
        <f t="shared" si="17"/>
        <v>0</v>
      </c>
      <c r="DJ13" s="285">
        <f t="shared" si="17"/>
        <v>0</v>
      </c>
      <c r="DK13" s="285">
        <f t="shared" si="17"/>
        <v>0</v>
      </c>
      <c r="DL13" s="285">
        <f t="shared" si="17"/>
        <v>0</v>
      </c>
      <c r="DM13" s="285">
        <f t="shared" si="17"/>
        <v>0</v>
      </c>
      <c r="DN13" s="285">
        <f t="shared" si="17"/>
        <v>0</v>
      </c>
      <c r="DO13" s="285">
        <f t="shared" si="17"/>
        <v>0</v>
      </c>
      <c r="DP13" s="285">
        <f t="shared" si="17"/>
        <v>0</v>
      </c>
      <c r="DQ13" s="285">
        <f t="shared" si="17"/>
        <v>0</v>
      </c>
      <c r="DR13" s="285">
        <f t="shared" si="17"/>
        <v>0</v>
      </c>
      <c r="DS13" s="285">
        <f t="shared" si="17"/>
        <v>0</v>
      </c>
      <c r="DT13" s="285">
        <f t="shared" si="17"/>
        <v>0</v>
      </c>
      <c r="DU13" s="285">
        <f t="shared" si="17"/>
        <v>0</v>
      </c>
      <c r="DV13" s="285">
        <f t="shared" si="17"/>
        <v>0</v>
      </c>
      <c r="DW13" s="286">
        <f t="shared" si="1"/>
        <v>10799800864.799999</v>
      </c>
      <c r="DX13" s="286">
        <f t="shared" si="1"/>
        <v>9907996206.4899998</v>
      </c>
      <c r="DY13" s="286">
        <f t="shared" si="1"/>
        <v>636390834.99000001</v>
      </c>
      <c r="DZ13" s="286">
        <f t="shared" si="1"/>
        <v>627981044.11999989</v>
      </c>
      <c r="EA13" s="287"/>
    </row>
    <row r="14" spans="1:132" ht="72.75" customHeight="1" x14ac:dyDescent="0.2">
      <c r="A14" s="303" t="s">
        <v>1992</v>
      </c>
      <c r="B14" s="304">
        <f t="shared" ref="B14:BM14" si="18">SUM(B15:B16)</f>
        <v>1020000000</v>
      </c>
      <c r="C14" s="304">
        <f t="shared" si="18"/>
        <v>300000000</v>
      </c>
      <c r="D14" s="304">
        <f t="shared" si="18"/>
        <v>176268606.81999999</v>
      </c>
      <c r="E14" s="304">
        <f t="shared" si="18"/>
        <v>146361106.81999999</v>
      </c>
      <c r="F14" s="304">
        <f t="shared" si="18"/>
        <v>146361106.81999999</v>
      </c>
      <c r="G14" s="304">
        <f t="shared" si="18"/>
        <v>720000000</v>
      </c>
      <c r="H14" s="304">
        <f t="shared" si="18"/>
        <v>300000000</v>
      </c>
      <c r="I14" s="304">
        <f t="shared" si="18"/>
        <v>0</v>
      </c>
      <c r="J14" s="304">
        <f t="shared" si="18"/>
        <v>0</v>
      </c>
      <c r="K14" s="304">
        <f t="shared" si="18"/>
        <v>0</v>
      </c>
      <c r="L14" s="304">
        <f t="shared" si="18"/>
        <v>0</v>
      </c>
      <c r="M14" s="304">
        <f t="shared" si="18"/>
        <v>0</v>
      </c>
      <c r="N14" s="304">
        <f t="shared" si="18"/>
        <v>0</v>
      </c>
      <c r="O14" s="304">
        <f t="shared" si="18"/>
        <v>0</v>
      </c>
      <c r="P14" s="304">
        <f t="shared" si="18"/>
        <v>0</v>
      </c>
      <c r="Q14" s="304">
        <f t="shared" si="18"/>
        <v>0</v>
      </c>
      <c r="R14" s="304">
        <f t="shared" si="18"/>
        <v>0</v>
      </c>
      <c r="S14" s="304">
        <f t="shared" si="18"/>
        <v>0</v>
      </c>
      <c r="T14" s="304">
        <f t="shared" si="18"/>
        <v>0</v>
      </c>
      <c r="U14" s="304">
        <f t="shared" si="18"/>
        <v>0</v>
      </c>
      <c r="V14" s="304">
        <f t="shared" si="18"/>
        <v>0</v>
      </c>
      <c r="W14" s="304">
        <f t="shared" si="18"/>
        <v>0</v>
      </c>
      <c r="X14" s="304">
        <f t="shared" si="18"/>
        <v>0</v>
      </c>
      <c r="Y14" s="304">
        <f t="shared" si="18"/>
        <v>0</v>
      </c>
      <c r="Z14" s="304">
        <f t="shared" si="18"/>
        <v>0</v>
      </c>
      <c r="AA14" s="304">
        <f t="shared" si="18"/>
        <v>0</v>
      </c>
      <c r="AB14" s="304">
        <f t="shared" si="18"/>
        <v>0</v>
      </c>
      <c r="AC14" s="304">
        <f t="shared" si="18"/>
        <v>0</v>
      </c>
      <c r="AD14" s="304">
        <f t="shared" si="18"/>
        <v>0</v>
      </c>
      <c r="AE14" s="304">
        <f t="shared" si="18"/>
        <v>0</v>
      </c>
      <c r="AF14" s="304">
        <f t="shared" si="18"/>
        <v>0</v>
      </c>
      <c r="AG14" s="304">
        <f t="shared" si="18"/>
        <v>0</v>
      </c>
      <c r="AH14" s="304">
        <f t="shared" si="18"/>
        <v>0</v>
      </c>
      <c r="AI14" s="304">
        <f t="shared" si="18"/>
        <v>0</v>
      </c>
      <c r="AJ14" s="304">
        <f t="shared" si="18"/>
        <v>0</v>
      </c>
      <c r="AK14" s="304">
        <f t="shared" si="18"/>
        <v>0</v>
      </c>
      <c r="AL14" s="304">
        <f t="shared" si="18"/>
        <v>0</v>
      </c>
      <c r="AM14" s="304">
        <f t="shared" si="18"/>
        <v>0</v>
      </c>
      <c r="AN14" s="304">
        <f t="shared" si="18"/>
        <v>0</v>
      </c>
      <c r="AO14" s="304">
        <f t="shared" si="18"/>
        <v>0</v>
      </c>
      <c r="AP14" s="304">
        <f t="shared" si="18"/>
        <v>0</v>
      </c>
      <c r="AQ14" s="304">
        <f t="shared" si="18"/>
        <v>0</v>
      </c>
      <c r="AR14" s="304">
        <f t="shared" si="18"/>
        <v>0</v>
      </c>
      <c r="AS14" s="304">
        <f t="shared" si="18"/>
        <v>0</v>
      </c>
      <c r="AT14" s="304">
        <f t="shared" si="18"/>
        <v>0</v>
      </c>
      <c r="AU14" s="304">
        <f t="shared" si="18"/>
        <v>0</v>
      </c>
      <c r="AV14" s="304">
        <f t="shared" si="18"/>
        <v>0</v>
      </c>
      <c r="AW14" s="304">
        <f t="shared" si="18"/>
        <v>0</v>
      </c>
      <c r="AX14" s="304">
        <f t="shared" si="18"/>
        <v>0</v>
      </c>
      <c r="AY14" s="304">
        <f t="shared" si="18"/>
        <v>0</v>
      </c>
      <c r="AZ14" s="304">
        <f t="shared" si="18"/>
        <v>0</v>
      </c>
      <c r="BA14" s="304">
        <f t="shared" si="18"/>
        <v>0</v>
      </c>
      <c r="BB14" s="304">
        <f t="shared" si="18"/>
        <v>0</v>
      </c>
      <c r="BC14" s="304">
        <f t="shared" si="18"/>
        <v>0</v>
      </c>
      <c r="BD14" s="304">
        <f t="shared" si="18"/>
        <v>0</v>
      </c>
      <c r="BE14" s="304">
        <f t="shared" si="18"/>
        <v>0</v>
      </c>
      <c r="BF14" s="304">
        <f t="shared" si="18"/>
        <v>0</v>
      </c>
      <c r="BG14" s="304">
        <f t="shared" si="18"/>
        <v>0</v>
      </c>
      <c r="BH14" s="304">
        <f t="shared" si="18"/>
        <v>0</v>
      </c>
      <c r="BI14" s="304">
        <f t="shared" si="18"/>
        <v>0</v>
      </c>
      <c r="BJ14" s="304">
        <f t="shared" si="18"/>
        <v>0</v>
      </c>
      <c r="BK14" s="304">
        <f t="shared" si="18"/>
        <v>0</v>
      </c>
      <c r="BL14" s="304">
        <f t="shared" si="18"/>
        <v>0</v>
      </c>
      <c r="BM14" s="304">
        <f t="shared" si="18"/>
        <v>0</v>
      </c>
      <c r="BN14" s="304">
        <f t="shared" ref="BN14:DV14" si="19">SUM(BN15:BN16)</f>
        <v>0</v>
      </c>
      <c r="BO14" s="304">
        <f t="shared" si="19"/>
        <v>0</v>
      </c>
      <c r="BP14" s="304">
        <f t="shared" si="19"/>
        <v>0</v>
      </c>
      <c r="BQ14" s="304">
        <f t="shared" si="19"/>
        <v>0</v>
      </c>
      <c r="BR14" s="304">
        <f t="shared" si="19"/>
        <v>0</v>
      </c>
      <c r="BS14" s="304">
        <f t="shared" si="19"/>
        <v>0</v>
      </c>
      <c r="BT14" s="304"/>
      <c r="BU14" s="304"/>
      <c r="BV14" s="304"/>
      <c r="BW14" s="304">
        <f t="shared" si="19"/>
        <v>0</v>
      </c>
      <c r="BX14" s="304">
        <f t="shared" si="19"/>
        <v>0</v>
      </c>
      <c r="BY14" s="304">
        <f t="shared" si="19"/>
        <v>0</v>
      </c>
      <c r="BZ14" s="304">
        <f t="shared" si="19"/>
        <v>0</v>
      </c>
      <c r="CA14" s="304">
        <f t="shared" si="19"/>
        <v>0</v>
      </c>
      <c r="CB14" s="304">
        <f t="shared" si="19"/>
        <v>0</v>
      </c>
      <c r="CC14" s="304">
        <f t="shared" si="19"/>
        <v>0</v>
      </c>
      <c r="CD14" s="304">
        <f t="shared" si="19"/>
        <v>0</v>
      </c>
      <c r="CE14" s="304">
        <f t="shared" si="19"/>
        <v>0</v>
      </c>
      <c r="CF14" s="304">
        <f t="shared" si="19"/>
        <v>0</v>
      </c>
      <c r="CG14" s="304">
        <f t="shared" si="19"/>
        <v>0</v>
      </c>
      <c r="CH14" s="304">
        <f t="shared" si="19"/>
        <v>0</v>
      </c>
      <c r="CI14" s="304">
        <f t="shared" si="19"/>
        <v>0</v>
      </c>
      <c r="CJ14" s="304">
        <f t="shared" si="19"/>
        <v>0</v>
      </c>
      <c r="CK14" s="304">
        <f t="shared" si="19"/>
        <v>0</v>
      </c>
      <c r="CL14" s="304">
        <f t="shared" si="19"/>
        <v>0</v>
      </c>
      <c r="CM14" s="304">
        <f t="shared" si="19"/>
        <v>0</v>
      </c>
      <c r="CN14" s="304">
        <f t="shared" si="19"/>
        <v>0</v>
      </c>
      <c r="CO14" s="304">
        <f t="shared" si="19"/>
        <v>0</v>
      </c>
      <c r="CP14" s="304">
        <f t="shared" si="19"/>
        <v>0</v>
      </c>
      <c r="CQ14" s="304">
        <f t="shared" si="19"/>
        <v>0</v>
      </c>
      <c r="CR14" s="304">
        <f t="shared" si="19"/>
        <v>0</v>
      </c>
      <c r="CS14" s="304">
        <f t="shared" si="19"/>
        <v>0</v>
      </c>
      <c r="CT14" s="304">
        <f t="shared" si="19"/>
        <v>0</v>
      </c>
      <c r="CU14" s="304">
        <f t="shared" si="19"/>
        <v>0</v>
      </c>
      <c r="CV14" s="304">
        <f t="shared" si="19"/>
        <v>0</v>
      </c>
      <c r="CW14" s="304">
        <f t="shared" si="19"/>
        <v>0</v>
      </c>
      <c r="CX14" s="304">
        <f t="shared" si="19"/>
        <v>0</v>
      </c>
      <c r="CY14" s="304">
        <f t="shared" si="19"/>
        <v>0</v>
      </c>
      <c r="CZ14" s="304">
        <f t="shared" si="19"/>
        <v>0</v>
      </c>
      <c r="DA14" s="304">
        <f t="shared" si="19"/>
        <v>0</v>
      </c>
      <c r="DB14" s="304">
        <f t="shared" si="19"/>
        <v>0</v>
      </c>
      <c r="DC14" s="304">
        <f t="shared" si="19"/>
        <v>0</v>
      </c>
      <c r="DD14" s="304">
        <f t="shared" si="19"/>
        <v>0</v>
      </c>
      <c r="DE14" s="304">
        <f t="shared" si="19"/>
        <v>0</v>
      </c>
      <c r="DF14" s="304">
        <f t="shared" si="19"/>
        <v>0</v>
      </c>
      <c r="DG14" s="304">
        <f t="shared" si="19"/>
        <v>0</v>
      </c>
      <c r="DH14" s="304">
        <f t="shared" si="19"/>
        <v>0</v>
      </c>
      <c r="DI14" s="304">
        <f t="shared" si="19"/>
        <v>0</v>
      </c>
      <c r="DJ14" s="304">
        <f t="shared" si="19"/>
        <v>0</v>
      </c>
      <c r="DK14" s="304">
        <f t="shared" si="19"/>
        <v>0</v>
      </c>
      <c r="DL14" s="304">
        <f t="shared" si="19"/>
        <v>0</v>
      </c>
      <c r="DM14" s="304">
        <f t="shared" si="19"/>
        <v>0</v>
      </c>
      <c r="DN14" s="304">
        <f t="shared" si="19"/>
        <v>0</v>
      </c>
      <c r="DO14" s="304">
        <f t="shared" si="19"/>
        <v>0</v>
      </c>
      <c r="DP14" s="304">
        <f t="shared" si="19"/>
        <v>0</v>
      </c>
      <c r="DQ14" s="304">
        <f t="shared" si="19"/>
        <v>0</v>
      </c>
      <c r="DR14" s="304">
        <f t="shared" si="19"/>
        <v>0</v>
      </c>
      <c r="DS14" s="304">
        <f t="shared" si="19"/>
        <v>0</v>
      </c>
      <c r="DT14" s="304">
        <f t="shared" si="19"/>
        <v>0</v>
      </c>
      <c r="DU14" s="304">
        <f t="shared" si="19"/>
        <v>0</v>
      </c>
      <c r="DV14" s="304">
        <f t="shared" si="19"/>
        <v>0</v>
      </c>
      <c r="DW14" s="286">
        <f t="shared" si="1"/>
        <v>1020000000</v>
      </c>
      <c r="DX14" s="286">
        <f t="shared" si="1"/>
        <v>476268606.81999999</v>
      </c>
      <c r="DY14" s="286">
        <f t="shared" si="1"/>
        <v>146361106.81999999</v>
      </c>
      <c r="DZ14" s="286">
        <f t="shared" si="1"/>
        <v>146361106.81999999</v>
      </c>
      <c r="EA14" s="291">
        <f>+SUM(DW15:DW16)-DW14</f>
        <v>0</v>
      </c>
      <c r="EB14" s="292">
        <f>+DW14-B14</f>
        <v>0</v>
      </c>
    </row>
    <row r="15" spans="1:132" ht="55.5" customHeight="1" x14ac:dyDescent="0.2">
      <c r="A15" s="293" t="s">
        <v>1993</v>
      </c>
      <c r="B15" s="294">
        <f>DW14</f>
        <v>1020000000</v>
      </c>
      <c r="C15" s="295">
        <f>300000000/2</f>
        <v>150000000</v>
      </c>
      <c r="D15" s="295">
        <f>176268606.82/2</f>
        <v>88134303.409999996</v>
      </c>
      <c r="E15" s="295">
        <f>146361106.82/2</f>
        <v>73180553.409999996</v>
      </c>
      <c r="F15" s="295">
        <f>146361106.82/2</f>
        <v>73180553.409999996</v>
      </c>
      <c r="G15" s="295">
        <f>720000000/2</f>
        <v>360000000</v>
      </c>
      <c r="H15" s="295">
        <v>300000000</v>
      </c>
      <c r="I15" s="295">
        <v>0</v>
      </c>
      <c r="J15" s="295">
        <v>0</v>
      </c>
      <c r="K15" s="295">
        <v>0</v>
      </c>
      <c r="L15" s="295">
        <v>0</v>
      </c>
      <c r="M15" s="295">
        <v>0</v>
      </c>
      <c r="N15" s="295">
        <v>0</v>
      </c>
      <c r="O15" s="295">
        <v>0</v>
      </c>
      <c r="P15" s="295">
        <v>0</v>
      </c>
      <c r="Q15" s="295">
        <v>0</v>
      </c>
      <c r="R15" s="295">
        <v>0</v>
      </c>
      <c r="S15" s="295">
        <v>0</v>
      </c>
      <c r="T15" s="295">
        <v>0</v>
      </c>
      <c r="U15" s="295">
        <v>0</v>
      </c>
      <c r="V15" s="295">
        <v>0</v>
      </c>
      <c r="W15" s="295">
        <v>0</v>
      </c>
      <c r="X15" s="295">
        <v>0</v>
      </c>
      <c r="Y15" s="295">
        <v>0</v>
      </c>
      <c r="Z15" s="295">
        <v>0</v>
      </c>
      <c r="AA15" s="295">
        <v>0</v>
      </c>
      <c r="AB15" s="295">
        <v>0</v>
      </c>
      <c r="AC15" s="295">
        <v>0</v>
      </c>
      <c r="AD15" s="295">
        <v>0</v>
      </c>
      <c r="AE15" s="295">
        <v>0</v>
      </c>
      <c r="AF15" s="295">
        <v>0</v>
      </c>
      <c r="AG15" s="295">
        <v>0</v>
      </c>
      <c r="AH15" s="295">
        <v>0</v>
      </c>
      <c r="AI15" s="295">
        <v>0</v>
      </c>
      <c r="AJ15" s="295">
        <v>0</v>
      </c>
      <c r="AK15" s="295">
        <v>0</v>
      </c>
      <c r="AL15" s="295">
        <v>0</v>
      </c>
      <c r="AM15" s="295">
        <v>0</v>
      </c>
      <c r="AN15" s="295">
        <v>0</v>
      </c>
      <c r="AO15" s="295">
        <v>0</v>
      </c>
      <c r="AP15" s="295">
        <v>0</v>
      </c>
      <c r="AQ15" s="295">
        <v>0</v>
      </c>
      <c r="AR15" s="295">
        <v>0</v>
      </c>
      <c r="AS15" s="295">
        <v>0</v>
      </c>
      <c r="AT15" s="295">
        <v>0</v>
      </c>
      <c r="AU15" s="295">
        <v>0</v>
      </c>
      <c r="AV15" s="295">
        <v>0</v>
      </c>
      <c r="AW15" s="295">
        <v>0</v>
      </c>
      <c r="AX15" s="295">
        <v>0</v>
      </c>
      <c r="AY15" s="295">
        <v>0</v>
      </c>
      <c r="AZ15" s="295">
        <v>0</v>
      </c>
      <c r="BA15" s="295">
        <v>0</v>
      </c>
      <c r="BB15" s="295">
        <v>0</v>
      </c>
      <c r="BC15" s="295">
        <v>0</v>
      </c>
      <c r="BD15" s="295">
        <v>0</v>
      </c>
      <c r="BE15" s="295">
        <v>0</v>
      </c>
      <c r="BF15" s="295">
        <v>0</v>
      </c>
      <c r="BG15" s="295">
        <v>0</v>
      </c>
      <c r="BH15" s="295">
        <v>0</v>
      </c>
      <c r="BI15" s="295">
        <v>0</v>
      </c>
      <c r="BJ15" s="295">
        <v>0</v>
      </c>
      <c r="BK15" s="295">
        <v>0</v>
      </c>
      <c r="BL15" s="295">
        <v>0</v>
      </c>
      <c r="BM15" s="295">
        <v>0</v>
      </c>
      <c r="BN15" s="295">
        <v>0</v>
      </c>
      <c r="BO15" s="295">
        <v>0</v>
      </c>
      <c r="BP15" s="295">
        <v>0</v>
      </c>
      <c r="BQ15" s="295">
        <v>0</v>
      </c>
      <c r="BR15" s="295">
        <v>0</v>
      </c>
      <c r="BS15" s="295"/>
      <c r="BT15" s="295"/>
      <c r="BU15" s="295"/>
      <c r="BV15" s="295"/>
      <c r="BW15" s="295">
        <v>0</v>
      </c>
      <c r="BX15" s="295">
        <v>0</v>
      </c>
      <c r="BY15" s="295">
        <v>0</v>
      </c>
      <c r="BZ15" s="295">
        <v>0</v>
      </c>
      <c r="CA15" s="295">
        <v>0</v>
      </c>
      <c r="CB15" s="295">
        <v>0</v>
      </c>
      <c r="CC15" s="295">
        <v>0</v>
      </c>
      <c r="CD15" s="295">
        <v>0</v>
      </c>
      <c r="CE15" s="295">
        <v>0</v>
      </c>
      <c r="CF15" s="295">
        <v>0</v>
      </c>
      <c r="CG15" s="295">
        <v>0</v>
      </c>
      <c r="CH15" s="295">
        <v>0</v>
      </c>
      <c r="CI15" s="295">
        <v>0</v>
      </c>
      <c r="CJ15" s="295">
        <v>0</v>
      </c>
      <c r="CK15" s="295">
        <v>0</v>
      </c>
      <c r="CL15" s="295">
        <v>0</v>
      </c>
      <c r="CM15" s="295">
        <v>0</v>
      </c>
      <c r="CN15" s="295">
        <v>0</v>
      </c>
      <c r="CO15" s="295">
        <v>0</v>
      </c>
      <c r="CP15" s="295">
        <v>0</v>
      </c>
      <c r="CQ15" s="295">
        <v>0</v>
      </c>
      <c r="CR15" s="295">
        <v>0</v>
      </c>
      <c r="CS15" s="295">
        <v>0</v>
      </c>
      <c r="CT15" s="295">
        <v>0</v>
      </c>
      <c r="CU15" s="295">
        <v>0</v>
      </c>
      <c r="CV15" s="295">
        <v>0</v>
      </c>
      <c r="CW15" s="295">
        <v>0</v>
      </c>
      <c r="CX15" s="295">
        <v>0</v>
      </c>
      <c r="CY15" s="295">
        <v>0</v>
      </c>
      <c r="CZ15" s="295">
        <v>0</v>
      </c>
      <c r="DA15" s="295">
        <v>0</v>
      </c>
      <c r="DB15" s="295">
        <v>0</v>
      </c>
      <c r="DC15" s="295">
        <v>0</v>
      </c>
      <c r="DD15" s="295">
        <v>0</v>
      </c>
      <c r="DE15" s="295">
        <v>0</v>
      </c>
      <c r="DF15" s="295">
        <v>0</v>
      </c>
      <c r="DG15" s="295">
        <v>0</v>
      </c>
      <c r="DH15" s="295">
        <v>0</v>
      </c>
      <c r="DI15" s="295">
        <v>0</v>
      </c>
      <c r="DJ15" s="295">
        <v>0</v>
      </c>
      <c r="DK15" s="295">
        <v>0</v>
      </c>
      <c r="DL15" s="295">
        <v>0</v>
      </c>
      <c r="DM15" s="295">
        <v>0</v>
      </c>
      <c r="DN15" s="295">
        <v>0</v>
      </c>
      <c r="DO15" s="295">
        <v>0</v>
      </c>
      <c r="DP15" s="295">
        <v>0</v>
      </c>
      <c r="DQ15" s="295">
        <v>0</v>
      </c>
      <c r="DR15" s="295">
        <v>0</v>
      </c>
      <c r="DS15" s="295">
        <v>0</v>
      </c>
      <c r="DT15" s="295">
        <v>0</v>
      </c>
      <c r="DU15" s="295">
        <v>0</v>
      </c>
      <c r="DV15" s="295">
        <v>0</v>
      </c>
      <c r="DW15" s="296">
        <f t="shared" si="1"/>
        <v>510000000</v>
      </c>
      <c r="DX15" s="296">
        <f t="shared" si="1"/>
        <v>388134303.40999997</v>
      </c>
      <c r="DY15" s="296">
        <f t="shared" si="1"/>
        <v>73180553.409999996</v>
      </c>
      <c r="DZ15" s="296">
        <f t="shared" si="1"/>
        <v>73180553.409999996</v>
      </c>
      <c r="EA15" s="287"/>
    </row>
    <row r="16" spans="1:132" ht="76.5" customHeight="1" x14ac:dyDescent="0.2">
      <c r="A16" s="293" t="s">
        <v>1994</v>
      </c>
      <c r="B16" s="301"/>
      <c r="C16" s="295">
        <f>300000000/2</f>
        <v>150000000</v>
      </c>
      <c r="D16" s="295">
        <f>176268606.82/2</f>
        <v>88134303.409999996</v>
      </c>
      <c r="E16" s="295">
        <f>146361106.82/2</f>
        <v>73180553.409999996</v>
      </c>
      <c r="F16" s="295">
        <f>146361106.82/2</f>
        <v>73180553.409999996</v>
      </c>
      <c r="G16" s="295">
        <f>720000000/2</f>
        <v>360000000</v>
      </c>
      <c r="H16" s="295">
        <v>0</v>
      </c>
      <c r="I16" s="295">
        <v>0</v>
      </c>
      <c r="J16" s="295">
        <v>0</v>
      </c>
      <c r="K16" s="295">
        <v>0</v>
      </c>
      <c r="L16" s="295">
        <v>0</v>
      </c>
      <c r="M16" s="295">
        <v>0</v>
      </c>
      <c r="N16" s="295">
        <v>0</v>
      </c>
      <c r="O16" s="295">
        <v>0</v>
      </c>
      <c r="P16" s="295">
        <v>0</v>
      </c>
      <c r="Q16" s="295">
        <v>0</v>
      </c>
      <c r="R16" s="295">
        <v>0</v>
      </c>
      <c r="S16" s="295">
        <v>0</v>
      </c>
      <c r="T16" s="295">
        <v>0</v>
      </c>
      <c r="U16" s="295">
        <v>0</v>
      </c>
      <c r="V16" s="295">
        <v>0</v>
      </c>
      <c r="W16" s="295">
        <v>0</v>
      </c>
      <c r="X16" s="295">
        <v>0</v>
      </c>
      <c r="Y16" s="295">
        <v>0</v>
      </c>
      <c r="Z16" s="295">
        <v>0</v>
      </c>
      <c r="AA16" s="295">
        <v>0</v>
      </c>
      <c r="AB16" s="295">
        <v>0</v>
      </c>
      <c r="AC16" s="295">
        <v>0</v>
      </c>
      <c r="AD16" s="295">
        <v>0</v>
      </c>
      <c r="AE16" s="295">
        <v>0</v>
      </c>
      <c r="AF16" s="295">
        <v>0</v>
      </c>
      <c r="AG16" s="295">
        <v>0</v>
      </c>
      <c r="AH16" s="295">
        <v>0</v>
      </c>
      <c r="AI16" s="295">
        <v>0</v>
      </c>
      <c r="AJ16" s="295">
        <v>0</v>
      </c>
      <c r="AK16" s="295">
        <v>0</v>
      </c>
      <c r="AL16" s="295">
        <v>0</v>
      </c>
      <c r="AM16" s="295">
        <v>0</v>
      </c>
      <c r="AN16" s="295">
        <v>0</v>
      </c>
      <c r="AO16" s="295">
        <v>0</v>
      </c>
      <c r="AP16" s="295">
        <v>0</v>
      </c>
      <c r="AQ16" s="295">
        <v>0</v>
      </c>
      <c r="AR16" s="295">
        <v>0</v>
      </c>
      <c r="AS16" s="295">
        <v>0</v>
      </c>
      <c r="AT16" s="295">
        <v>0</v>
      </c>
      <c r="AU16" s="295">
        <v>0</v>
      </c>
      <c r="AV16" s="295">
        <v>0</v>
      </c>
      <c r="AW16" s="295">
        <v>0</v>
      </c>
      <c r="AX16" s="295">
        <v>0</v>
      </c>
      <c r="AY16" s="295">
        <v>0</v>
      </c>
      <c r="AZ16" s="295">
        <v>0</v>
      </c>
      <c r="BA16" s="295">
        <v>0</v>
      </c>
      <c r="BB16" s="295">
        <v>0</v>
      </c>
      <c r="BC16" s="295">
        <v>0</v>
      </c>
      <c r="BD16" s="295">
        <v>0</v>
      </c>
      <c r="BE16" s="295">
        <v>0</v>
      </c>
      <c r="BF16" s="295">
        <v>0</v>
      </c>
      <c r="BG16" s="295">
        <v>0</v>
      </c>
      <c r="BH16" s="295">
        <v>0</v>
      </c>
      <c r="BI16" s="295">
        <v>0</v>
      </c>
      <c r="BJ16" s="295">
        <v>0</v>
      </c>
      <c r="BK16" s="295">
        <v>0</v>
      </c>
      <c r="BL16" s="295">
        <v>0</v>
      </c>
      <c r="BM16" s="295">
        <v>0</v>
      </c>
      <c r="BN16" s="295">
        <v>0</v>
      </c>
      <c r="BO16" s="295">
        <v>0</v>
      </c>
      <c r="BP16" s="295">
        <v>0</v>
      </c>
      <c r="BQ16" s="295">
        <v>0</v>
      </c>
      <c r="BR16" s="295">
        <v>0</v>
      </c>
      <c r="BS16" s="295"/>
      <c r="BT16" s="295"/>
      <c r="BU16" s="295"/>
      <c r="BV16" s="295"/>
      <c r="BW16" s="295">
        <v>0</v>
      </c>
      <c r="BX16" s="295">
        <v>0</v>
      </c>
      <c r="BY16" s="295">
        <v>0</v>
      </c>
      <c r="BZ16" s="295">
        <v>0</v>
      </c>
      <c r="CA16" s="295">
        <v>0</v>
      </c>
      <c r="CB16" s="295">
        <v>0</v>
      </c>
      <c r="CC16" s="295">
        <v>0</v>
      </c>
      <c r="CD16" s="295">
        <v>0</v>
      </c>
      <c r="CE16" s="295">
        <v>0</v>
      </c>
      <c r="CF16" s="295">
        <v>0</v>
      </c>
      <c r="CG16" s="295">
        <v>0</v>
      </c>
      <c r="CH16" s="295">
        <v>0</v>
      </c>
      <c r="CI16" s="295">
        <v>0</v>
      </c>
      <c r="CJ16" s="295">
        <v>0</v>
      </c>
      <c r="CK16" s="295">
        <v>0</v>
      </c>
      <c r="CL16" s="295">
        <v>0</v>
      </c>
      <c r="CM16" s="295">
        <v>0</v>
      </c>
      <c r="CN16" s="295">
        <v>0</v>
      </c>
      <c r="CO16" s="295">
        <v>0</v>
      </c>
      <c r="CP16" s="295">
        <v>0</v>
      </c>
      <c r="CQ16" s="295">
        <v>0</v>
      </c>
      <c r="CR16" s="295">
        <v>0</v>
      </c>
      <c r="CS16" s="295">
        <v>0</v>
      </c>
      <c r="CT16" s="295">
        <v>0</v>
      </c>
      <c r="CU16" s="295">
        <v>0</v>
      </c>
      <c r="CV16" s="295">
        <v>0</v>
      </c>
      <c r="CW16" s="295">
        <v>0</v>
      </c>
      <c r="CX16" s="295">
        <v>0</v>
      </c>
      <c r="CY16" s="295">
        <v>0</v>
      </c>
      <c r="CZ16" s="295">
        <v>0</v>
      </c>
      <c r="DA16" s="295">
        <v>0</v>
      </c>
      <c r="DB16" s="295">
        <v>0</v>
      </c>
      <c r="DC16" s="295">
        <v>0</v>
      </c>
      <c r="DD16" s="295">
        <v>0</v>
      </c>
      <c r="DE16" s="295">
        <v>0</v>
      </c>
      <c r="DF16" s="295">
        <v>0</v>
      </c>
      <c r="DG16" s="295">
        <v>0</v>
      </c>
      <c r="DH16" s="295">
        <v>0</v>
      </c>
      <c r="DI16" s="295">
        <v>0</v>
      </c>
      <c r="DJ16" s="295">
        <v>0</v>
      </c>
      <c r="DK16" s="295">
        <v>0</v>
      </c>
      <c r="DL16" s="295">
        <v>0</v>
      </c>
      <c r="DM16" s="295">
        <v>0</v>
      </c>
      <c r="DN16" s="295">
        <v>0</v>
      </c>
      <c r="DO16" s="295">
        <v>0</v>
      </c>
      <c r="DP16" s="295">
        <v>0</v>
      </c>
      <c r="DQ16" s="295">
        <v>0</v>
      </c>
      <c r="DR16" s="295">
        <v>0</v>
      </c>
      <c r="DS16" s="295">
        <v>0</v>
      </c>
      <c r="DT16" s="295">
        <v>0</v>
      </c>
      <c r="DU16" s="295">
        <v>0</v>
      </c>
      <c r="DV16" s="295">
        <v>0</v>
      </c>
      <c r="DW16" s="296">
        <f t="shared" si="1"/>
        <v>510000000</v>
      </c>
      <c r="DX16" s="296">
        <f t="shared" si="1"/>
        <v>88134303.409999996</v>
      </c>
      <c r="DY16" s="296">
        <f t="shared" si="1"/>
        <v>73180553.409999996</v>
      </c>
      <c r="DZ16" s="296">
        <f t="shared" si="1"/>
        <v>73180553.409999996</v>
      </c>
      <c r="EA16" s="291">
        <f>+SUM(DW15:DW16)-B15</f>
        <v>0</v>
      </c>
    </row>
    <row r="17" spans="1:132" ht="45.75" customHeight="1" x14ac:dyDescent="0.2">
      <c r="A17" s="303" t="s">
        <v>1995</v>
      </c>
      <c r="B17" s="290">
        <f>SUM(B18:B21)</f>
        <v>9779800864.7999992</v>
      </c>
      <c r="C17" s="290">
        <f t="shared" ref="C17:DV17" si="20">SUM(C18:C21)</f>
        <v>300000000</v>
      </c>
      <c r="D17" s="290">
        <f>SUM(D18:D21)</f>
        <v>194753940.87</v>
      </c>
      <c r="E17" s="290">
        <f t="shared" ref="E17:F17" si="21">SUM(E18:E21)</f>
        <v>173062239.97</v>
      </c>
      <c r="F17" s="290">
        <f t="shared" si="21"/>
        <v>164652489.09999999</v>
      </c>
      <c r="G17" s="290">
        <f t="shared" ref="G17:AL17" si="22">SUM(G19:G21)</f>
        <v>0</v>
      </c>
      <c r="H17" s="290">
        <f t="shared" si="22"/>
        <v>0</v>
      </c>
      <c r="I17" s="290">
        <f t="shared" si="22"/>
        <v>0</v>
      </c>
      <c r="J17" s="290">
        <f t="shared" si="22"/>
        <v>0</v>
      </c>
      <c r="K17" s="290">
        <f t="shared" si="22"/>
        <v>0</v>
      </c>
      <c r="L17" s="290">
        <f t="shared" si="22"/>
        <v>0</v>
      </c>
      <c r="M17" s="290">
        <f t="shared" si="22"/>
        <v>0</v>
      </c>
      <c r="N17" s="290">
        <f t="shared" si="22"/>
        <v>0</v>
      </c>
      <c r="O17" s="290">
        <f t="shared" si="22"/>
        <v>0</v>
      </c>
      <c r="P17" s="290">
        <f t="shared" si="22"/>
        <v>0</v>
      </c>
      <c r="Q17" s="290">
        <f t="shared" si="22"/>
        <v>0</v>
      </c>
      <c r="R17" s="290">
        <f t="shared" si="22"/>
        <v>0</v>
      </c>
      <c r="S17" s="290">
        <f t="shared" si="22"/>
        <v>0</v>
      </c>
      <c r="T17" s="290">
        <f t="shared" si="22"/>
        <v>0</v>
      </c>
      <c r="U17" s="290">
        <f t="shared" si="22"/>
        <v>0</v>
      </c>
      <c r="V17" s="290">
        <f t="shared" si="22"/>
        <v>0</v>
      </c>
      <c r="W17" s="290">
        <f t="shared" si="22"/>
        <v>0</v>
      </c>
      <c r="X17" s="290">
        <f t="shared" si="22"/>
        <v>0</v>
      </c>
      <c r="Y17" s="290">
        <f t="shared" si="22"/>
        <v>0</v>
      </c>
      <c r="Z17" s="290">
        <f t="shared" si="22"/>
        <v>0</v>
      </c>
      <c r="AA17" s="290">
        <f t="shared" si="22"/>
        <v>0</v>
      </c>
      <c r="AB17" s="290">
        <f t="shared" si="22"/>
        <v>0</v>
      </c>
      <c r="AC17" s="290">
        <f t="shared" si="22"/>
        <v>0</v>
      </c>
      <c r="AD17" s="290">
        <f t="shared" si="22"/>
        <v>0</v>
      </c>
      <c r="AE17" s="290">
        <f t="shared" si="22"/>
        <v>0</v>
      </c>
      <c r="AF17" s="290">
        <f t="shared" si="22"/>
        <v>0</v>
      </c>
      <c r="AG17" s="290">
        <f t="shared" si="22"/>
        <v>0</v>
      </c>
      <c r="AH17" s="290">
        <f t="shared" si="22"/>
        <v>0</v>
      </c>
      <c r="AI17" s="290">
        <f t="shared" si="22"/>
        <v>0</v>
      </c>
      <c r="AJ17" s="290">
        <f t="shared" si="22"/>
        <v>0</v>
      </c>
      <c r="AK17" s="290">
        <f t="shared" si="22"/>
        <v>0</v>
      </c>
      <c r="AL17" s="290">
        <f t="shared" si="22"/>
        <v>0</v>
      </c>
      <c r="AM17" s="290">
        <f t="shared" si="20"/>
        <v>0</v>
      </c>
      <c r="AN17" s="290">
        <f t="shared" si="20"/>
        <v>0</v>
      </c>
      <c r="AO17" s="290">
        <f t="shared" si="20"/>
        <v>0</v>
      </c>
      <c r="AP17" s="290">
        <f t="shared" si="20"/>
        <v>0</v>
      </c>
      <c r="AQ17" s="290">
        <f t="shared" si="20"/>
        <v>0</v>
      </c>
      <c r="AR17" s="290">
        <f t="shared" si="20"/>
        <v>0</v>
      </c>
      <c r="AS17" s="290">
        <f t="shared" si="20"/>
        <v>0</v>
      </c>
      <c r="AT17" s="290">
        <f t="shared" si="20"/>
        <v>0</v>
      </c>
      <c r="AU17" s="290">
        <f t="shared" si="20"/>
        <v>0</v>
      </c>
      <c r="AV17" s="290">
        <f t="shared" si="20"/>
        <v>0</v>
      </c>
      <c r="AW17" s="290">
        <f t="shared" si="20"/>
        <v>0</v>
      </c>
      <c r="AX17" s="290">
        <f t="shared" si="20"/>
        <v>0</v>
      </c>
      <c r="AY17" s="290">
        <f t="shared" si="20"/>
        <v>0</v>
      </c>
      <c r="AZ17" s="290">
        <f t="shared" si="20"/>
        <v>0</v>
      </c>
      <c r="BA17" s="290">
        <f t="shared" si="20"/>
        <v>0</v>
      </c>
      <c r="BB17" s="290">
        <f t="shared" si="20"/>
        <v>0</v>
      </c>
      <c r="BC17" s="290">
        <f t="shared" si="20"/>
        <v>9479800864.7999992</v>
      </c>
      <c r="BD17" s="290">
        <f t="shared" si="20"/>
        <v>9236973658.7999992</v>
      </c>
      <c r="BE17" s="290">
        <f t="shared" si="20"/>
        <v>316967488.19999999</v>
      </c>
      <c r="BF17" s="290">
        <f t="shared" si="20"/>
        <v>316967448.19999999</v>
      </c>
      <c r="BG17" s="290">
        <f t="shared" si="20"/>
        <v>0</v>
      </c>
      <c r="BH17" s="290">
        <f t="shared" si="20"/>
        <v>0</v>
      </c>
      <c r="BI17" s="290">
        <f t="shared" si="20"/>
        <v>0</v>
      </c>
      <c r="BJ17" s="290">
        <f t="shared" si="20"/>
        <v>0</v>
      </c>
      <c r="BK17" s="290">
        <f t="shared" si="20"/>
        <v>0</v>
      </c>
      <c r="BL17" s="290">
        <f t="shared" si="20"/>
        <v>0</v>
      </c>
      <c r="BM17" s="290">
        <f t="shared" si="20"/>
        <v>0</v>
      </c>
      <c r="BN17" s="290">
        <f t="shared" si="20"/>
        <v>0</v>
      </c>
      <c r="BO17" s="290">
        <f t="shared" si="20"/>
        <v>0</v>
      </c>
      <c r="BP17" s="290">
        <f t="shared" si="20"/>
        <v>0</v>
      </c>
      <c r="BQ17" s="290">
        <f t="shared" si="20"/>
        <v>0</v>
      </c>
      <c r="BR17" s="290">
        <f t="shared" si="20"/>
        <v>0</v>
      </c>
      <c r="BS17" s="290">
        <f t="shared" si="20"/>
        <v>0</v>
      </c>
      <c r="BT17" s="290">
        <f t="shared" si="20"/>
        <v>0</v>
      </c>
      <c r="BU17" s="290">
        <f t="shared" si="20"/>
        <v>0</v>
      </c>
      <c r="BV17" s="290">
        <f t="shared" si="20"/>
        <v>0</v>
      </c>
      <c r="BW17" s="290">
        <f t="shared" si="20"/>
        <v>0</v>
      </c>
      <c r="BX17" s="290">
        <f t="shared" si="20"/>
        <v>0</v>
      </c>
      <c r="BY17" s="290">
        <f t="shared" si="20"/>
        <v>0</v>
      </c>
      <c r="BZ17" s="290">
        <f t="shared" si="20"/>
        <v>0</v>
      </c>
      <c r="CA17" s="290">
        <f t="shared" si="20"/>
        <v>0</v>
      </c>
      <c r="CB17" s="290">
        <f t="shared" si="20"/>
        <v>0</v>
      </c>
      <c r="CC17" s="290">
        <f t="shared" si="20"/>
        <v>0</v>
      </c>
      <c r="CD17" s="290">
        <f t="shared" si="20"/>
        <v>0</v>
      </c>
      <c r="CE17" s="290">
        <f t="shared" si="20"/>
        <v>0</v>
      </c>
      <c r="CF17" s="290">
        <f t="shared" si="20"/>
        <v>0</v>
      </c>
      <c r="CG17" s="290">
        <f t="shared" si="20"/>
        <v>0</v>
      </c>
      <c r="CH17" s="290">
        <f t="shared" si="20"/>
        <v>0</v>
      </c>
      <c r="CI17" s="290">
        <f t="shared" si="20"/>
        <v>0</v>
      </c>
      <c r="CJ17" s="290">
        <f t="shared" si="20"/>
        <v>0</v>
      </c>
      <c r="CK17" s="290">
        <f t="shared" si="20"/>
        <v>0</v>
      </c>
      <c r="CL17" s="290">
        <f t="shared" si="20"/>
        <v>0</v>
      </c>
      <c r="CM17" s="290">
        <f t="shared" si="20"/>
        <v>0</v>
      </c>
      <c r="CN17" s="290">
        <f t="shared" si="20"/>
        <v>0</v>
      </c>
      <c r="CO17" s="290">
        <f t="shared" si="20"/>
        <v>0</v>
      </c>
      <c r="CP17" s="290">
        <f t="shared" si="20"/>
        <v>0</v>
      </c>
      <c r="CQ17" s="290">
        <f t="shared" si="20"/>
        <v>0</v>
      </c>
      <c r="CR17" s="290">
        <f t="shared" si="20"/>
        <v>0</v>
      </c>
      <c r="CS17" s="290">
        <f t="shared" si="20"/>
        <v>0</v>
      </c>
      <c r="CT17" s="290">
        <f t="shared" si="20"/>
        <v>0</v>
      </c>
      <c r="CU17" s="290">
        <f t="shared" si="20"/>
        <v>0</v>
      </c>
      <c r="CV17" s="290">
        <f t="shared" si="20"/>
        <v>0</v>
      </c>
      <c r="CW17" s="290">
        <f t="shared" si="20"/>
        <v>0</v>
      </c>
      <c r="CX17" s="290">
        <f t="shared" si="20"/>
        <v>0</v>
      </c>
      <c r="CY17" s="290">
        <f t="shared" si="20"/>
        <v>0</v>
      </c>
      <c r="CZ17" s="290">
        <f t="shared" si="20"/>
        <v>0</v>
      </c>
      <c r="DA17" s="290">
        <f t="shared" si="20"/>
        <v>0</v>
      </c>
      <c r="DB17" s="290">
        <f t="shared" si="20"/>
        <v>0</v>
      </c>
      <c r="DC17" s="290">
        <f t="shared" si="20"/>
        <v>0</v>
      </c>
      <c r="DD17" s="290">
        <f t="shared" si="20"/>
        <v>0</v>
      </c>
      <c r="DE17" s="290">
        <f t="shared" si="20"/>
        <v>0</v>
      </c>
      <c r="DF17" s="290">
        <f t="shared" si="20"/>
        <v>0</v>
      </c>
      <c r="DG17" s="290">
        <f t="shared" si="20"/>
        <v>0</v>
      </c>
      <c r="DH17" s="290">
        <f t="shared" si="20"/>
        <v>0</v>
      </c>
      <c r="DI17" s="290">
        <f t="shared" si="20"/>
        <v>0</v>
      </c>
      <c r="DJ17" s="290">
        <f t="shared" si="20"/>
        <v>0</v>
      </c>
      <c r="DK17" s="290">
        <f t="shared" si="20"/>
        <v>0</v>
      </c>
      <c r="DL17" s="290">
        <f t="shared" si="20"/>
        <v>0</v>
      </c>
      <c r="DM17" s="290">
        <f t="shared" si="20"/>
        <v>0</v>
      </c>
      <c r="DN17" s="290">
        <f t="shared" si="20"/>
        <v>0</v>
      </c>
      <c r="DO17" s="290">
        <f t="shared" si="20"/>
        <v>0</v>
      </c>
      <c r="DP17" s="290">
        <f t="shared" si="20"/>
        <v>0</v>
      </c>
      <c r="DQ17" s="290">
        <f t="shared" si="20"/>
        <v>0</v>
      </c>
      <c r="DR17" s="290">
        <f t="shared" si="20"/>
        <v>0</v>
      </c>
      <c r="DS17" s="290">
        <f t="shared" si="20"/>
        <v>0</v>
      </c>
      <c r="DT17" s="290">
        <f t="shared" si="20"/>
        <v>0</v>
      </c>
      <c r="DU17" s="290">
        <f t="shared" si="20"/>
        <v>0</v>
      </c>
      <c r="DV17" s="290">
        <f t="shared" si="20"/>
        <v>0</v>
      </c>
      <c r="DW17" s="286">
        <f t="shared" si="1"/>
        <v>9779800864.7999992</v>
      </c>
      <c r="DX17" s="286">
        <f t="shared" si="1"/>
        <v>9431727599.6700001</v>
      </c>
      <c r="DY17" s="286">
        <f t="shared" si="1"/>
        <v>490029728.16999996</v>
      </c>
      <c r="DZ17" s="286">
        <f t="shared" si="1"/>
        <v>481619937.29999995</v>
      </c>
      <c r="EA17" s="291">
        <f>+SUM(DW18:DW21)-DW17</f>
        <v>0</v>
      </c>
      <c r="EB17" s="292">
        <f>+DW17-B17</f>
        <v>0</v>
      </c>
    </row>
    <row r="18" spans="1:132" ht="45.75" customHeight="1" x14ac:dyDescent="0.2">
      <c r="A18" s="293" t="s">
        <v>1996</v>
      </c>
      <c r="B18" s="294">
        <f>DW17</f>
        <v>9779800864.7999992</v>
      </c>
      <c r="C18" s="295">
        <f>300000000/4</f>
        <v>75000000</v>
      </c>
      <c r="D18" s="295">
        <f>194753940.87/4</f>
        <v>48688485.217500001</v>
      </c>
      <c r="E18" s="295">
        <f>173062239.97/4</f>
        <v>43265559.9925</v>
      </c>
      <c r="F18" s="295">
        <f>164652489.1/4</f>
        <v>41163122.274999999</v>
      </c>
      <c r="G18" s="295">
        <v>0</v>
      </c>
      <c r="H18" s="295">
        <v>0</v>
      </c>
      <c r="I18" s="295">
        <v>0</v>
      </c>
      <c r="J18" s="295">
        <v>0</v>
      </c>
      <c r="K18" s="295">
        <v>0</v>
      </c>
      <c r="L18" s="295">
        <v>0</v>
      </c>
      <c r="M18" s="295">
        <v>0</v>
      </c>
      <c r="N18" s="295">
        <v>0</v>
      </c>
      <c r="O18" s="295">
        <v>0</v>
      </c>
      <c r="P18" s="295">
        <v>0</v>
      </c>
      <c r="Q18" s="295">
        <v>0</v>
      </c>
      <c r="R18" s="295">
        <v>0</v>
      </c>
      <c r="S18" s="295">
        <v>0</v>
      </c>
      <c r="T18" s="295">
        <v>0</v>
      </c>
      <c r="U18" s="295">
        <v>0</v>
      </c>
      <c r="V18" s="295">
        <v>0</v>
      </c>
      <c r="W18" s="295">
        <v>0</v>
      </c>
      <c r="X18" s="295">
        <v>0</v>
      </c>
      <c r="Y18" s="295">
        <v>0</v>
      </c>
      <c r="Z18" s="295">
        <v>0</v>
      </c>
      <c r="AA18" s="295">
        <v>0</v>
      </c>
      <c r="AB18" s="295">
        <v>0</v>
      </c>
      <c r="AC18" s="295">
        <v>0</v>
      </c>
      <c r="AD18" s="295">
        <v>0</v>
      </c>
      <c r="AE18" s="295">
        <v>0</v>
      </c>
      <c r="AF18" s="295">
        <v>0</v>
      </c>
      <c r="AG18" s="295">
        <v>0</v>
      </c>
      <c r="AH18" s="295">
        <v>0</v>
      </c>
      <c r="AI18" s="295">
        <v>0</v>
      </c>
      <c r="AJ18" s="295">
        <v>0</v>
      </c>
      <c r="AK18" s="295">
        <v>0</v>
      </c>
      <c r="AL18" s="295">
        <v>0</v>
      </c>
      <c r="AM18" s="295">
        <v>0</v>
      </c>
      <c r="AN18" s="295">
        <v>0</v>
      </c>
      <c r="AO18" s="295">
        <v>0</v>
      </c>
      <c r="AP18" s="295">
        <v>0</v>
      </c>
      <c r="AQ18" s="295">
        <v>0</v>
      </c>
      <c r="AR18" s="295">
        <v>0</v>
      </c>
      <c r="AS18" s="295">
        <v>0</v>
      </c>
      <c r="AT18" s="295">
        <v>0</v>
      </c>
      <c r="AU18" s="295">
        <v>0</v>
      </c>
      <c r="AV18" s="295">
        <v>0</v>
      </c>
      <c r="AW18" s="295">
        <v>0</v>
      </c>
      <c r="AX18" s="295">
        <v>0</v>
      </c>
      <c r="AY18" s="295">
        <v>0</v>
      </c>
      <c r="AZ18" s="295">
        <v>0</v>
      </c>
      <c r="BA18" s="295">
        <v>0</v>
      </c>
      <c r="BB18" s="295">
        <v>0</v>
      </c>
      <c r="BC18" s="295">
        <v>7446805420.8000002</v>
      </c>
      <c r="BD18" s="295">
        <v>7446805420.8000002</v>
      </c>
      <c r="BE18" s="295">
        <v>316967488.19999999</v>
      </c>
      <c r="BF18" s="295">
        <v>316967448.19999999</v>
      </c>
      <c r="BG18" s="295">
        <v>0</v>
      </c>
      <c r="BH18" s="295">
        <v>0</v>
      </c>
      <c r="BI18" s="295">
        <v>0</v>
      </c>
      <c r="BJ18" s="295">
        <v>0</v>
      </c>
      <c r="BK18" s="295">
        <v>0</v>
      </c>
      <c r="BL18" s="295">
        <v>0</v>
      </c>
      <c r="BM18" s="295">
        <v>0</v>
      </c>
      <c r="BN18" s="295">
        <v>0</v>
      </c>
      <c r="BO18" s="295">
        <v>0</v>
      </c>
      <c r="BP18" s="295">
        <v>0</v>
      </c>
      <c r="BQ18" s="295">
        <v>0</v>
      </c>
      <c r="BR18" s="295">
        <v>0</v>
      </c>
      <c r="BS18" s="295">
        <v>0</v>
      </c>
      <c r="BT18" s="295">
        <v>0</v>
      </c>
      <c r="BU18" s="295">
        <v>0</v>
      </c>
      <c r="BV18" s="295">
        <v>0</v>
      </c>
      <c r="BW18" s="295">
        <v>0</v>
      </c>
      <c r="BX18" s="295">
        <v>0</v>
      </c>
      <c r="BY18" s="295">
        <v>0</v>
      </c>
      <c r="BZ18" s="295">
        <v>0</v>
      </c>
      <c r="CA18" s="295">
        <v>0</v>
      </c>
      <c r="CB18" s="295">
        <v>0</v>
      </c>
      <c r="CC18" s="295">
        <v>0</v>
      </c>
      <c r="CD18" s="295">
        <v>0</v>
      </c>
      <c r="CE18" s="295">
        <v>0</v>
      </c>
      <c r="CF18" s="295">
        <v>0</v>
      </c>
      <c r="CG18" s="295">
        <v>0</v>
      </c>
      <c r="CH18" s="295">
        <v>0</v>
      </c>
      <c r="CI18" s="295">
        <v>0</v>
      </c>
      <c r="CJ18" s="295">
        <v>0</v>
      </c>
      <c r="CK18" s="295">
        <v>0</v>
      </c>
      <c r="CL18" s="295">
        <v>0</v>
      </c>
      <c r="CM18" s="295">
        <v>0</v>
      </c>
      <c r="CN18" s="295">
        <v>0</v>
      </c>
      <c r="CO18" s="295">
        <v>0</v>
      </c>
      <c r="CP18" s="295">
        <v>0</v>
      </c>
      <c r="CQ18" s="295">
        <v>0</v>
      </c>
      <c r="CR18" s="295">
        <v>0</v>
      </c>
      <c r="CS18" s="295">
        <v>0</v>
      </c>
      <c r="CT18" s="295">
        <v>0</v>
      </c>
      <c r="CU18" s="295">
        <v>0</v>
      </c>
      <c r="CV18" s="295">
        <v>0</v>
      </c>
      <c r="CW18" s="295">
        <v>0</v>
      </c>
      <c r="CX18" s="295">
        <v>0</v>
      </c>
      <c r="CY18" s="295">
        <v>0</v>
      </c>
      <c r="CZ18" s="295">
        <v>0</v>
      </c>
      <c r="DA18" s="295">
        <v>0</v>
      </c>
      <c r="DB18" s="295">
        <v>0</v>
      </c>
      <c r="DC18" s="295">
        <v>0</v>
      </c>
      <c r="DD18" s="295">
        <v>0</v>
      </c>
      <c r="DE18" s="295">
        <v>0</v>
      </c>
      <c r="DF18" s="295">
        <v>0</v>
      </c>
      <c r="DG18" s="295">
        <v>0</v>
      </c>
      <c r="DH18" s="295">
        <v>0</v>
      </c>
      <c r="DI18" s="295">
        <v>0</v>
      </c>
      <c r="DJ18" s="295">
        <v>0</v>
      </c>
      <c r="DK18" s="295">
        <v>0</v>
      </c>
      <c r="DL18" s="295">
        <v>0</v>
      </c>
      <c r="DM18" s="295">
        <v>0</v>
      </c>
      <c r="DN18" s="295">
        <v>0</v>
      </c>
      <c r="DO18" s="295">
        <v>0</v>
      </c>
      <c r="DP18" s="295">
        <v>0</v>
      </c>
      <c r="DQ18" s="295">
        <v>0</v>
      </c>
      <c r="DR18" s="295">
        <v>0</v>
      </c>
      <c r="DS18" s="295">
        <v>0</v>
      </c>
      <c r="DT18" s="295">
        <v>0</v>
      </c>
      <c r="DU18" s="295">
        <v>0</v>
      </c>
      <c r="DV18" s="295">
        <v>0</v>
      </c>
      <c r="DW18" s="296">
        <f t="shared" si="1"/>
        <v>7521805420.8000002</v>
      </c>
      <c r="DX18" s="296">
        <f t="shared" si="1"/>
        <v>7495493906.0174999</v>
      </c>
      <c r="DY18" s="296">
        <f t="shared" si="1"/>
        <v>360233048.1925</v>
      </c>
      <c r="DZ18" s="296">
        <f t="shared" si="1"/>
        <v>358130570.47499996</v>
      </c>
      <c r="EA18" s="287"/>
    </row>
    <row r="19" spans="1:132" ht="45.75" customHeight="1" x14ac:dyDescent="0.2">
      <c r="A19" s="293" t="s">
        <v>1997</v>
      </c>
      <c r="B19" s="298"/>
      <c r="C19" s="295">
        <f t="shared" ref="C19:C21" si="23">300000000/4</f>
        <v>75000000</v>
      </c>
      <c r="D19" s="295">
        <f t="shared" ref="D19:D21" si="24">194753940.87/4</f>
        <v>48688485.217500001</v>
      </c>
      <c r="E19" s="295">
        <f t="shared" ref="E19:E21" si="25">173062239.97/4</f>
        <v>43265559.9925</v>
      </c>
      <c r="F19" s="295">
        <f t="shared" ref="F19:F21" si="26">164652489.1/4</f>
        <v>41163122.274999999</v>
      </c>
      <c r="G19" s="295">
        <v>0</v>
      </c>
      <c r="H19" s="295">
        <v>0</v>
      </c>
      <c r="I19" s="295">
        <v>0</v>
      </c>
      <c r="J19" s="295">
        <v>0</v>
      </c>
      <c r="K19" s="295">
        <v>0</v>
      </c>
      <c r="L19" s="295">
        <v>0</v>
      </c>
      <c r="M19" s="295">
        <v>0</v>
      </c>
      <c r="N19" s="295">
        <v>0</v>
      </c>
      <c r="O19" s="295">
        <v>0</v>
      </c>
      <c r="P19" s="295">
        <v>0</v>
      </c>
      <c r="Q19" s="295">
        <v>0</v>
      </c>
      <c r="R19" s="295">
        <v>0</v>
      </c>
      <c r="S19" s="295">
        <v>0</v>
      </c>
      <c r="T19" s="295">
        <v>0</v>
      </c>
      <c r="U19" s="295">
        <v>0</v>
      </c>
      <c r="V19" s="295">
        <v>0</v>
      </c>
      <c r="W19" s="295">
        <v>0</v>
      </c>
      <c r="X19" s="295">
        <v>0</v>
      </c>
      <c r="Y19" s="295">
        <v>0</v>
      </c>
      <c r="Z19" s="295">
        <v>0</v>
      </c>
      <c r="AA19" s="295">
        <v>0</v>
      </c>
      <c r="AB19" s="295">
        <v>0</v>
      </c>
      <c r="AC19" s="295">
        <v>0</v>
      </c>
      <c r="AD19" s="295">
        <v>0</v>
      </c>
      <c r="AE19" s="295">
        <v>0</v>
      </c>
      <c r="AF19" s="295">
        <v>0</v>
      </c>
      <c r="AG19" s="295">
        <v>0</v>
      </c>
      <c r="AH19" s="295">
        <v>0</v>
      </c>
      <c r="AI19" s="295">
        <v>0</v>
      </c>
      <c r="AJ19" s="295">
        <v>0</v>
      </c>
      <c r="AK19" s="295">
        <v>0</v>
      </c>
      <c r="AL19" s="295">
        <v>0</v>
      </c>
      <c r="AM19" s="295">
        <v>0</v>
      </c>
      <c r="AN19" s="295">
        <v>0</v>
      </c>
      <c r="AO19" s="295">
        <v>0</v>
      </c>
      <c r="AP19" s="295">
        <v>0</v>
      </c>
      <c r="AQ19" s="295">
        <v>0</v>
      </c>
      <c r="AR19" s="295">
        <v>0</v>
      </c>
      <c r="AS19" s="295">
        <v>0</v>
      </c>
      <c r="AT19" s="295">
        <v>0</v>
      </c>
      <c r="AU19" s="295">
        <v>0</v>
      </c>
      <c r="AV19" s="295">
        <v>0</v>
      </c>
      <c r="AW19" s="295">
        <v>0</v>
      </c>
      <c r="AX19" s="295">
        <v>0</v>
      </c>
      <c r="AY19" s="295">
        <v>0</v>
      </c>
      <c r="AZ19" s="295">
        <v>0</v>
      </c>
      <c r="BA19" s="295">
        <v>0</v>
      </c>
      <c r="BB19" s="295">
        <v>0</v>
      </c>
      <c r="BC19" s="295">
        <v>2032995444</v>
      </c>
      <c r="BD19" s="295">
        <v>1790168238</v>
      </c>
      <c r="BE19" s="295"/>
      <c r="BF19" s="295"/>
      <c r="BG19" s="295">
        <v>0</v>
      </c>
      <c r="BH19" s="295">
        <v>0</v>
      </c>
      <c r="BI19" s="295">
        <v>0</v>
      </c>
      <c r="BJ19" s="295">
        <v>0</v>
      </c>
      <c r="BK19" s="295">
        <v>0</v>
      </c>
      <c r="BL19" s="295">
        <v>0</v>
      </c>
      <c r="BM19" s="295">
        <v>0</v>
      </c>
      <c r="BN19" s="295">
        <v>0</v>
      </c>
      <c r="BO19" s="295">
        <v>0</v>
      </c>
      <c r="BP19" s="295">
        <v>0</v>
      </c>
      <c r="BQ19" s="295">
        <v>0</v>
      </c>
      <c r="BR19" s="295">
        <v>0</v>
      </c>
      <c r="BS19" s="295">
        <v>0</v>
      </c>
      <c r="BT19" s="295">
        <v>0</v>
      </c>
      <c r="BU19" s="295">
        <v>0</v>
      </c>
      <c r="BV19" s="295">
        <v>0</v>
      </c>
      <c r="BW19" s="295">
        <v>0</v>
      </c>
      <c r="BX19" s="295">
        <v>0</v>
      </c>
      <c r="BY19" s="295">
        <v>0</v>
      </c>
      <c r="BZ19" s="295">
        <v>0</v>
      </c>
      <c r="CA19" s="295">
        <v>0</v>
      </c>
      <c r="CB19" s="295">
        <v>0</v>
      </c>
      <c r="CC19" s="295">
        <v>0</v>
      </c>
      <c r="CD19" s="295">
        <v>0</v>
      </c>
      <c r="CE19" s="295">
        <v>0</v>
      </c>
      <c r="CF19" s="295">
        <v>0</v>
      </c>
      <c r="CG19" s="295">
        <v>0</v>
      </c>
      <c r="CH19" s="295">
        <v>0</v>
      </c>
      <c r="CI19" s="295">
        <v>0</v>
      </c>
      <c r="CJ19" s="295">
        <v>0</v>
      </c>
      <c r="CK19" s="295">
        <v>0</v>
      </c>
      <c r="CL19" s="295">
        <v>0</v>
      </c>
      <c r="CM19" s="295">
        <v>0</v>
      </c>
      <c r="CN19" s="295">
        <v>0</v>
      </c>
      <c r="CO19" s="295">
        <v>0</v>
      </c>
      <c r="CP19" s="295">
        <v>0</v>
      </c>
      <c r="CQ19" s="295">
        <v>0</v>
      </c>
      <c r="CR19" s="295">
        <v>0</v>
      </c>
      <c r="CS19" s="295">
        <v>0</v>
      </c>
      <c r="CT19" s="295">
        <v>0</v>
      </c>
      <c r="CU19" s="295">
        <v>0</v>
      </c>
      <c r="CV19" s="295">
        <v>0</v>
      </c>
      <c r="CW19" s="295">
        <v>0</v>
      </c>
      <c r="CX19" s="295">
        <v>0</v>
      </c>
      <c r="CY19" s="295">
        <v>0</v>
      </c>
      <c r="CZ19" s="295">
        <v>0</v>
      </c>
      <c r="DA19" s="295">
        <v>0</v>
      </c>
      <c r="DB19" s="295">
        <v>0</v>
      </c>
      <c r="DC19" s="295">
        <v>0</v>
      </c>
      <c r="DD19" s="295">
        <v>0</v>
      </c>
      <c r="DE19" s="295">
        <v>0</v>
      </c>
      <c r="DF19" s="295">
        <v>0</v>
      </c>
      <c r="DG19" s="295">
        <v>0</v>
      </c>
      <c r="DH19" s="295">
        <v>0</v>
      </c>
      <c r="DI19" s="295">
        <v>0</v>
      </c>
      <c r="DJ19" s="295">
        <v>0</v>
      </c>
      <c r="DK19" s="295">
        <v>0</v>
      </c>
      <c r="DL19" s="295">
        <v>0</v>
      </c>
      <c r="DM19" s="295">
        <v>0</v>
      </c>
      <c r="DN19" s="295">
        <v>0</v>
      </c>
      <c r="DO19" s="295">
        <v>0</v>
      </c>
      <c r="DP19" s="295">
        <v>0</v>
      </c>
      <c r="DQ19" s="295">
        <v>0</v>
      </c>
      <c r="DR19" s="295">
        <v>0</v>
      </c>
      <c r="DS19" s="295">
        <v>0</v>
      </c>
      <c r="DT19" s="295">
        <v>0</v>
      </c>
      <c r="DU19" s="295">
        <v>0</v>
      </c>
      <c r="DV19" s="295">
        <v>0</v>
      </c>
      <c r="DW19" s="296">
        <f t="shared" si="1"/>
        <v>2107995444</v>
      </c>
      <c r="DX19" s="296">
        <f t="shared" si="1"/>
        <v>1838856723.2175</v>
      </c>
      <c r="DY19" s="296">
        <f t="shared" si="1"/>
        <v>43265559.9925</v>
      </c>
      <c r="DZ19" s="296">
        <f t="shared" si="1"/>
        <v>41163122.274999999</v>
      </c>
      <c r="EA19" s="287"/>
    </row>
    <row r="20" spans="1:132" ht="45.75" customHeight="1" x14ac:dyDescent="0.2">
      <c r="A20" s="305" t="s">
        <v>1998</v>
      </c>
      <c r="B20" s="298"/>
      <c r="C20" s="295">
        <f t="shared" si="23"/>
        <v>75000000</v>
      </c>
      <c r="D20" s="295">
        <f t="shared" si="24"/>
        <v>48688485.217500001</v>
      </c>
      <c r="E20" s="295">
        <f t="shared" si="25"/>
        <v>43265559.9925</v>
      </c>
      <c r="F20" s="295">
        <f t="shared" si="26"/>
        <v>41163122.274999999</v>
      </c>
      <c r="G20" s="295">
        <v>0</v>
      </c>
      <c r="H20" s="295">
        <v>0</v>
      </c>
      <c r="I20" s="295">
        <v>0</v>
      </c>
      <c r="J20" s="295">
        <v>0</v>
      </c>
      <c r="K20" s="295">
        <v>0</v>
      </c>
      <c r="L20" s="295">
        <v>0</v>
      </c>
      <c r="M20" s="295">
        <v>0</v>
      </c>
      <c r="N20" s="295">
        <v>0</v>
      </c>
      <c r="O20" s="295">
        <v>0</v>
      </c>
      <c r="P20" s="295">
        <v>0</v>
      </c>
      <c r="Q20" s="295">
        <v>0</v>
      </c>
      <c r="R20" s="295">
        <v>0</v>
      </c>
      <c r="S20" s="295">
        <v>0</v>
      </c>
      <c r="T20" s="295">
        <v>0</v>
      </c>
      <c r="U20" s="295">
        <v>0</v>
      </c>
      <c r="V20" s="295">
        <v>0</v>
      </c>
      <c r="W20" s="295">
        <v>0</v>
      </c>
      <c r="X20" s="295">
        <v>0</v>
      </c>
      <c r="Y20" s="295">
        <v>0</v>
      </c>
      <c r="Z20" s="295">
        <v>0</v>
      </c>
      <c r="AA20" s="295">
        <v>0</v>
      </c>
      <c r="AB20" s="295">
        <v>0</v>
      </c>
      <c r="AC20" s="295">
        <v>0</v>
      </c>
      <c r="AD20" s="295">
        <v>0</v>
      </c>
      <c r="AE20" s="295">
        <v>0</v>
      </c>
      <c r="AF20" s="295">
        <v>0</v>
      </c>
      <c r="AG20" s="295">
        <v>0</v>
      </c>
      <c r="AH20" s="295">
        <v>0</v>
      </c>
      <c r="AI20" s="295">
        <v>0</v>
      </c>
      <c r="AJ20" s="295">
        <v>0</v>
      </c>
      <c r="AK20" s="295">
        <v>0</v>
      </c>
      <c r="AL20" s="295">
        <v>0</v>
      </c>
      <c r="AM20" s="300">
        <v>0</v>
      </c>
      <c r="AN20" s="300">
        <v>0</v>
      </c>
      <c r="AO20" s="300">
        <v>0</v>
      </c>
      <c r="AP20" s="300">
        <v>0</v>
      </c>
      <c r="AQ20" s="300">
        <v>0</v>
      </c>
      <c r="AR20" s="300">
        <v>0</v>
      </c>
      <c r="AS20" s="300">
        <v>0</v>
      </c>
      <c r="AT20" s="300">
        <v>0</v>
      </c>
      <c r="AU20" s="300">
        <v>0</v>
      </c>
      <c r="AV20" s="300">
        <v>0</v>
      </c>
      <c r="AW20" s="300">
        <v>0</v>
      </c>
      <c r="AX20" s="300">
        <v>0</v>
      </c>
      <c r="AY20" s="300">
        <v>0</v>
      </c>
      <c r="AZ20" s="300">
        <v>0</v>
      </c>
      <c r="BA20" s="300">
        <v>0</v>
      </c>
      <c r="BB20" s="300">
        <v>0</v>
      </c>
      <c r="BC20" s="306"/>
      <c r="BD20" s="306"/>
      <c r="BE20" s="306"/>
      <c r="BF20" s="306"/>
      <c r="BG20" s="300">
        <v>0</v>
      </c>
      <c r="BH20" s="300">
        <v>0</v>
      </c>
      <c r="BI20" s="300">
        <v>0</v>
      </c>
      <c r="BJ20" s="300">
        <v>0</v>
      </c>
      <c r="BK20" s="300">
        <v>0</v>
      </c>
      <c r="BL20" s="300">
        <v>0</v>
      </c>
      <c r="BM20" s="300">
        <v>0</v>
      </c>
      <c r="BN20" s="300">
        <v>0</v>
      </c>
      <c r="BO20" s="300">
        <v>0</v>
      </c>
      <c r="BP20" s="300">
        <v>0</v>
      </c>
      <c r="BQ20" s="300">
        <v>0</v>
      </c>
      <c r="BR20" s="300">
        <v>0</v>
      </c>
      <c r="BS20" s="295">
        <v>0</v>
      </c>
      <c r="BT20" s="295">
        <v>0</v>
      </c>
      <c r="BU20" s="295">
        <v>0</v>
      </c>
      <c r="BV20" s="295">
        <v>0</v>
      </c>
      <c r="BW20" s="300">
        <v>0</v>
      </c>
      <c r="BX20" s="300">
        <v>0</v>
      </c>
      <c r="BY20" s="300">
        <v>0</v>
      </c>
      <c r="BZ20" s="300">
        <v>0</v>
      </c>
      <c r="CA20" s="300">
        <v>0</v>
      </c>
      <c r="CB20" s="300">
        <v>0</v>
      </c>
      <c r="CC20" s="300">
        <v>0</v>
      </c>
      <c r="CD20" s="300">
        <v>0</v>
      </c>
      <c r="CE20" s="300">
        <v>0</v>
      </c>
      <c r="CF20" s="300">
        <v>0</v>
      </c>
      <c r="CG20" s="300">
        <v>0</v>
      </c>
      <c r="CH20" s="300">
        <v>0</v>
      </c>
      <c r="CI20" s="300">
        <v>0</v>
      </c>
      <c r="CJ20" s="300">
        <v>0</v>
      </c>
      <c r="CK20" s="300">
        <v>0</v>
      </c>
      <c r="CL20" s="300">
        <v>0</v>
      </c>
      <c r="CM20" s="300">
        <v>0</v>
      </c>
      <c r="CN20" s="300">
        <v>0</v>
      </c>
      <c r="CO20" s="300">
        <v>0</v>
      </c>
      <c r="CP20" s="300">
        <v>0</v>
      </c>
      <c r="CQ20" s="300">
        <v>0</v>
      </c>
      <c r="CR20" s="300">
        <v>0</v>
      </c>
      <c r="CS20" s="300">
        <v>0</v>
      </c>
      <c r="CT20" s="300">
        <v>0</v>
      </c>
      <c r="CU20" s="300">
        <v>0</v>
      </c>
      <c r="CV20" s="300">
        <v>0</v>
      </c>
      <c r="CW20" s="300">
        <v>0</v>
      </c>
      <c r="CX20" s="300">
        <v>0</v>
      </c>
      <c r="CY20" s="300">
        <v>0</v>
      </c>
      <c r="CZ20" s="300">
        <v>0</v>
      </c>
      <c r="DA20" s="300">
        <v>0</v>
      </c>
      <c r="DB20" s="300">
        <v>0</v>
      </c>
      <c r="DC20" s="300">
        <v>0</v>
      </c>
      <c r="DD20" s="300">
        <v>0</v>
      </c>
      <c r="DE20" s="300">
        <v>0</v>
      </c>
      <c r="DF20" s="300">
        <v>0</v>
      </c>
      <c r="DG20" s="300">
        <v>0</v>
      </c>
      <c r="DH20" s="300">
        <v>0</v>
      </c>
      <c r="DI20" s="300">
        <v>0</v>
      </c>
      <c r="DJ20" s="300">
        <v>0</v>
      </c>
      <c r="DK20" s="300">
        <v>0</v>
      </c>
      <c r="DL20" s="300">
        <v>0</v>
      </c>
      <c r="DM20" s="300">
        <v>0</v>
      </c>
      <c r="DN20" s="300">
        <v>0</v>
      </c>
      <c r="DO20" s="300">
        <v>0</v>
      </c>
      <c r="DP20" s="300">
        <v>0</v>
      </c>
      <c r="DQ20" s="300">
        <v>0</v>
      </c>
      <c r="DR20" s="300">
        <v>0</v>
      </c>
      <c r="DS20" s="300">
        <v>0</v>
      </c>
      <c r="DT20" s="300">
        <v>0</v>
      </c>
      <c r="DU20" s="300">
        <v>0</v>
      </c>
      <c r="DV20" s="300">
        <v>0</v>
      </c>
      <c r="DW20" s="296">
        <f t="shared" si="1"/>
        <v>75000000</v>
      </c>
      <c r="DX20" s="296">
        <f t="shared" si="1"/>
        <v>48688485.217500001</v>
      </c>
      <c r="DY20" s="296">
        <f t="shared" si="1"/>
        <v>43265559.9925</v>
      </c>
      <c r="DZ20" s="296">
        <f t="shared" si="1"/>
        <v>41163122.274999999</v>
      </c>
      <c r="EA20" s="287"/>
    </row>
    <row r="21" spans="1:132" ht="45.75" customHeight="1" x14ac:dyDescent="0.2">
      <c r="A21" s="297" t="s">
        <v>1999</v>
      </c>
      <c r="B21" s="301"/>
      <c r="C21" s="295">
        <f t="shared" si="23"/>
        <v>75000000</v>
      </c>
      <c r="D21" s="295">
        <f t="shared" si="24"/>
        <v>48688485.217500001</v>
      </c>
      <c r="E21" s="295">
        <f t="shared" si="25"/>
        <v>43265559.9925</v>
      </c>
      <c r="F21" s="295">
        <f t="shared" si="26"/>
        <v>41163122.274999999</v>
      </c>
      <c r="G21" s="295">
        <v>0</v>
      </c>
      <c r="H21" s="295">
        <v>0</v>
      </c>
      <c r="I21" s="295">
        <v>0</v>
      </c>
      <c r="J21" s="295">
        <v>0</v>
      </c>
      <c r="K21" s="295">
        <v>0</v>
      </c>
      <c r="L21" s="295">
        <v>0</v>
      </c>
      <c r="M21" s="295">
        <v>0</v>
      </c>
      <c r="N21" s="295">
        <v>0</v>
      </c>
      <c r="O21" s="295">
        <v>0</v>
      </c>
      <c r="P21" s="295">
        <v>0</v>
      </c>
      <c r="Q21" s="295">
        <v>0</v>
      </c>
      <c r="R21" s="295">
        <v>0</v>
      </c>
      <c r="S21" s="295">
        <v>0</v>
      </c>
      <c r="T21" s="295">
        <v>0</v>
      </c>
      <c r="U21" s="295">
        <v>0</v>
      </c>
      <c r="V21" s="295">
        <v>0</v>
      </c>
      <c r="W21" s="295">
        <v>0</v>
      </c>
      <c r="X21" s="295">
        <v>0</v>
      </c>
      <c r="Y21" s="295">
        <v>0</v>
      </c>
      <c r="Z21" s="295">
        <v>0</v>
      </c>
      <c r="AA21" s="295">
        <v>0</v>
      </c>
      <c r="AB21" s="295">
        <v>0</v>
      </c>
      <c r="AC21" s="295">
        <v>0</v>
      </c>
      <c r="AD21" s="295">
        <v>0</v>
      </c>
      <c r="AE21" s="295">
        <v>0</v>
      </c>
      <c r="AF21" s="295">
        <v>0</v>
      </c>
      <c r="AG21" s="295">
        <v>0</v>
      </c>
      <c r="AH21" s="295">
        <v>0</v>
      </c>
      <c r="AI21" s="295">
        <v>0</v>
      </c>
      <c r="AJ21" s="295">
        <v>0</v>
      </c>
      <c r="AK21" s="295">
        <v>0</v>
      </c>
      <c r="AL21" s="295">
        <v>0</v>
      </c>
      <c r="AM21" s="300">
        <v>0</v>
      </c>
      <c r="AN21" s="300">
        <v>0</v>
      </c>
      <c r="AO21" s="300">
        <v>0</v>
      </c>
      <c r="AP21" s="300">
        <v>0</v>
      </c>
      <c r="AQ21" s="300">
        <v>0</v>
      </c>
      <c r="AR21" s="300">
        <v>0</v>
      </c>
      <c r="AS21" s="300">
        <v>0</v>
      </c>
      <c r="AT21" s="300">
        <v>0</v>
      </c>
      <c r="AU21" s="300">
        <v>0</v>
      </c>
      <c r="AV21" s="300">
        <v>0</v>
      </c>
      <c r="AW21" s="300">
        <v>0</v>
      </c>
      <c r="AX21" s="300">
        <v>0</v>
      </c>
      <c r="AY21" s="300">
        <v>0</v>
      </c>
      <c r="AZ21" s="300">
        <v>0</v>
      </c>
      <c r="BA21" s="300">
        <v>0</v>
      </c>
      <c r="BB21" s="300">
        <v>0</v>
      </c>
      <c r="BC21" s="300">
        <v>0</v>
      </c>
      <c r="BD21" s="300">
        <v>0</v>
      </c>
      <c r="BE21" s="300">
        <v>0</v>
      </c>
      <c r="BF21" s="300">
        <v>0</v>
      </c>
      <c r="BG21" s="300">
        <v>0</v>
      </c>
      <c r="BH21" s="300">
        <v>0</v>
      </c>
      <c r="BI21" s="300">
        <v>0</v>
      </c>
      <c r="BJ21" s="300">
        <v>0</v>
      </c>
      <c r="BK21" s="300">
        <v>0</v>
      </c>
      <c r="BL21" s="300">
        <v>0</v>
      </c>
      <c r="BM21" s="300">
        <v>0</v>
      </c>
      <c r="BN21" s="300">
        <v>0</v>
      </c>
      <c r="BO21" s="300">
        <v>0</v>
      </c>
      <c r="BP21" s="300">
        <v>0</v>
      </c>
      <c r="BQ21" s="300">
        <v>0</v>
      </c>
      <c r="BR21" s="300">
        <v>0</v>
      </c>
      <c r="BS21" s="295">
        <v>0</v>
      </c>
      <c r="BT21" s="295">
        <v>0</v>
      </c>
      <c r="BU21" s="295">
        <v>0</v>
      </c>
      <c r="BV21" s="295">
        <v>0</v>
      </c>
      <c r="BW21" s="300">
        <v>0</v>
      </c>
      <c r="BX21" s="300">
        <v>0</v>
      </c>
      <c r="BY21" s="300">
        <v>0</v>
      </c>
      <c r="BZ21" s="300">
        <v>0</v>
      </c>
      <c r="CA21" s="300">
        <v>0</v>
      </c>
      <c r="CB21" s="300">
        <v>0</v>
      </c>
      <c r="CC21" s="300">
        <v>0</v>
      </c>
      <c r="CD21" s="300">
        <v>0</v>
      </c>
      <c r="CE21" s="300">
        <v>0</v>
      </c>
      <c r="CF21" s="300">
        <v>0</v>
      </c>
      <c r="CG21" s="300">
        <v>0</v>
      </c>
      <c r="CH21" s="300">
        <v>0</v>
      </c>
      <c r="CI21" s="300">
        <v>0</v>
      </c>
      <c r="CJ21" s="300">
        <v>0</v>
      </c>
      <c r="CK21" s="300">
        <v>0</v>
      </c>
      <c r="CL21" s="300">
        <v>0</v>
      </c>
      <c r="CM21" s="300">
        <v>0</v>
      </c>
      <c r="CN21" s="300">
        <v>0</v>
      </c>
      <c r="CO21" s="300">
        <v>0</v>
      </c>
      <c r="CP21" s="300">
        <v>0</v>
      </c>
      <c r="CQ21" s="300">
        <v>0</v>
      </c>
      <c r="CR21" s="300">
        <v>0</v>
      </c>
      <c r="CS21" s="300">
        <v>0</v>
      </c>
      <c r="CT21" s="300">
        <v>0</v>
      </c>
      <c r="CU21" s="300">
        <v>0</v>
      </c>
      <c r="CV21" s="300">
        <v>0</v>
      </c>
      <c r="CW21" s="300">
        <v>0</v>
      </c>
      <c r="CX21" s="300">
        <v>0</v>
      </c>
      <c r="CY21" s="300">
        <v>0</v>
      </c>
      <c r="CZ21" s="300">
        <v>0</v>
      </c>
      <c r="DA21" s="300">
        <v>0</v>
      </c>
      <c r="DB21" s="300">
        <v>0</v>
      </c>
      <c r="DC21" s="300">
        <v>0</v>
      </c>
      <c r="DD21" s="300">
        <v>0</v>
      </c>
      <c r="DE21" s="300">
        <v>0</v>
      </c>
      <c r="DF21" s="300">
        <v>0</v>
      </c>
      <c r="DG21" s="300">
        <v>0</v>
      </c>
      <c r="DH21" s="300">
        <v>0</v>
      </c>
      <c r="DI21" s="300">
        <v>0</v>
      </c>
      <c r="DJ21" s="300">
        <v>0</v>
      </c>
      <c r="DK21" s="300">
        <v>0</v>
      </c>
      <c r="DL21" s="300">
        <v>0</v>
      </c>
      <c r="DM21" s="300">
        <v>0</v>
      </c>
      <c r="DN21" s="300">
        <v>0</v>
      </c>
      <c r="DO21" s="300">
        <v>0</v>
      </c>
      <c r="DP21" s="300">
        <v>0</v>
      </c>
      <c r="DQ21" s="300">
        <v>0</v>
      </c>
      <c r="DR21" s="300">
        <v>0</v>
      </c>
      <c r="DS21" s="300">
        <v>0</v>
      </c>
      <c r="DT21" s="300">
        <v>0</v>
      </c>
      <c r="DU21" s="300">
        <v>0</v>
      </c>
      <c r="DV21" s="300">
        <v>0</v>
      </c>
      <c r="DW21" s="296">
        <f t="shared" si="1"/>
        <v>75000000</v>
      </c>
      <c r="DX21" s="296">
        <f t="shared" si="1"/>
        <v>48688485.217500001</v>
      </c>
      <c r="DY21" s="296">
        <f t="shared" si="1"/>
        <v>43265559.9925</v>
      </c>
      <c r="DZ21" s="296">
        <f t="shared" si="1"/>
        <v>41163122.274999999</v>
      </c>
      <c r="EA21" s="302">
        <f>+SUM(DW18:DW21)-B18</f>
        <v>0</v>
      </c>
    </row>
    <row r="22" spans="1:132" s="283" customFormat="1" ht="45.75" customHeight="1" x14ac:dyDescent="0.2">
      <c r="A22" s="280" t="s">
        <v>2000</v>
      </c>
      <c r="B22" s="281">
        <f>+B23+B41</f>
        <v>51226822922.93</v>
      </c>
      <c r="C22" s="281">
        <f>+C23+C41</f>
        <v>3750000000</v>
      </c>
      <c r="D22" s="281">
        <f t="shared" ref="D22:BO22" si="27">+D23+D41</f>
        <v>2771029246.7600002</v>
      </c>
      <c r="E22" s="281">
        <f t="shared" si="27"/>
        <v>1036580519.0999999</v>
      </c>
      <c r="F22" s="281">
        <f t="shared" si="27"/>
        <v>963736320.27999985</v>
      </c>
      <c r="G22" s="281">
        <f t="shared" si="27"/>
        <v>2603000000</v>
      </c>
      <c r="H22" s="281">
        <f t="shared" si="27"/>
        <v>2378120954</v>
      </c>
      <c r="I22" s="281">
        <f t="shared" si="27"/>
        <v>0</v>
      </c>
      <c r="J22" s="281">
        <f t="shared" si="27"/>
        <v>0</v>
      </c>
      <c r="K22" s="281">
        <f t="shared" si="27"/>
        <v>0</v>
      </c>
      <c r="L22" s="281">
        <f t="shared" si="27"/>
        <v>0</v>
      </c>
      <c r="M22" s="281">
        <f t="shared" si="27"/>
        <v>0</v>
      </c>
      <c r="N22" s="281">
        <f t="shared" si="27"/>
        <v>0</v>
      </c>
      <c r="O22" s="281">
        <f t="shared" si="27"/>
        <v>0</v>
      </c>
      <c r="P22" s="281">
        <f t="shared" si="27"/>
        <v>0</v>
      </c>
      <c r="Q22" s="281">
        <f t="shared" si="27"/>
        <v>0</v>
      </c>
      <c r="R22" s="281">
        <f t="shared" si="27"/>
        <v>0</v>
      </c>
      <c r="S22" s="281">
        <f t="shared" si="27"/>
        <v>0</v>
      </c>
      <c r="T22" s="281">
        <f t="shared" si="27"/>
        <v>0</v>
      </c>
      <c r="U22" s="281">
        <f t="shared" si="27"/>
        <v>0</v>
      </c>
      <c r="V22" s="281">
        <f t="shared" si="27"/>
        <v>0</v>
      </c>
      <c r="W22" s="281">
        <f t="shared" si="27"/>
        <v>0</v>
      </c>
      <c r="X22" s="281">
        <f t="shared" si="27"/>
        <v>0</v>
      </c>
      <c r="Y22" s="281">
        <f t="shared" si="27"/>
        <v>0</v>
      </c>
      <c r="Z22" s="281">
        <f t="shared" si="27"/>
        <v>0</v>
      </c>
      <c r="AA22" s="281">
        <f t="shared" si="27"/>
        <v>0</v>
      </c>
      <c r="AB22" s="281">
        <f t="shared" si="27"/>
        <v>0</v>
      </c>
      <c r="AC22" s="281">
        <f t="shared" si="27"/>
        <v>0</v>
      </c>
      <c r="AD22" s="281">
        <f t="shared" si="27"/>
        <v>0</v>
      </c>
      <c r="AE22" s="281">
        <f t="shared" si="27"/>
        <v>179878234.16000003</v>
      </c>
      <c r="AF22" s="281">
        <f t="shared" si="27"/>
        <v>11000000</v>
      </c>
      <c r="AG22" s="281">
        <f t="shared" si="27"/>
        <v>0</v>
      </c>
      <c r="AH22" s="281">
        <f t="shared" si="27"/>
        <v>0</v>
      </c>
      <c r="AI22" s="281">
        <f t="shared" si="27"/>
        <v>0</v>
      </c>
      <c r="AJ22" s="281">
        <f t="shared" si="27"/>
        <v>0</v>
      </c>
      <c r="AK22" s="281">
        <f t="shared" si="27"/>
        <v>0</v>
      </c>
      <c r="AL22" s="281">
        <f t="shared" si="27"/>
        <v>0</v>
      </c>
      <c r="AM22" s="281">
        <f t="shared" si="27"/>
        <v>0</v>
      </c>
      <c r="AN22" s="281">
        <f t="shared" si="27"/>
        <v>0</v>
      </c>
      <c r="AO22" s="281">
        <f t="shared" si="27"/>
        <v>0</v>
      </c>
      <c r="AP22" s="281">
        <f t="shared" si="27"/>
        <v>0</v>
      </c>
      <c r="AQ22" s="281">
        <f t="shared" si="27"/>
        <v>0</v>
      </c>
      <c r="AR22" s="281">
        <f t="shared" si="27"/>
        <v>0</v>
      </c>
      <c r="AS22" s="281">
        <f t="shared" si="27"/>
        <v>0</v>
      </c>
      <c r="AT22" s="281">
        <f t="shared" si="27"/>
        <v>0</v>
      </c>
      <c r="AU22" s="281">
        <f t="shared" si="27"/>
        <v>0</v>
      </c>
      <c r="AV22" s="281">
        <f t="shared" si="27"/>
        <v>0</v>
      </c>
      <c r="AW22" s="281">
        <f t="shared" si="27"/>
        <v>0</v>
      </c>
      <c r="AX22" s="281">
        <f t="shared" si="27"/>
        <v>0</v>
      </c>
      <c r="AY22" s="281">
        <f t="shared" si="27"/>
        <v>340000000</v>
      </c>
      <c r="AZ22" s="281">
        <f t="shared" si="27"/>
        <v>0</v>
      </c>
      <c r="BA22" s="281">
        <f t="shared" si="27"/>
        <v>0</v>
      </c>
      <c r="BB22" s="281">
        <f t="shared" si="27"/>
        <v>0</v>
      </c>
      <c r="BC22" s="281">
        <f t="shared" si="27"/>
        <v>43613944688.769997</v>
      </c>
      <c r="BD22" s="281">
        <f t="shared" si="27"/>
        <v>33617556754.77</v>
      </c>
      <c r="BE22" s="281">
        <f t="shared" si="27"/>
        <v>15949975554.190001</v>
      </c>
      <c r="BF22" s="281">
        <f t="shared" si="27"/>
        <v>15949975554.190001</v>
      </c>
      <c r="BG22" s="281">
        <f t="shared" si="27"/>
        <v>740000000</v>
      </c>
      <c r="BH22" s="281">
        <f t="shared" si="27"/>
        <v>616390026.50000012</v>
      </c>
      <c r="BI22" s="281">
        <f t="shared" si="27"/>
        <v>0</v>
      </c>
      <c r="BJ22" s="281">
        <f t="shared" si="27"/>
        <v>0</v>
      </c>
      <c r="BK22" s="281">
        <f t="shared" si="27"/>
        <v>0</v>
      </c>
      <c r="BL22" s="281">
        <f t="shared" si="27"/>
        <v>0</v>
      </c>
      <c r="BM22" s="281">
        <f t="shared" si="27"/>
        <v>0</v>
      </c>
      <c r="BN22" s="281">
        <f t="shared" si="27"/>
        <v>0</v>
      </c>
      <c r="BO22" s="281">
        <f t="shared" si="27"/>
        <v>0</v>
      </c>
      <c r="BP22" s="281">
        <f t="shared" ref="BP22:DV22" si="28">+BP23+BP41</f>
        <v>0</v>
      </c>
      <c r="BQ22" s="281">
        <f t="shared" si="28"/>
        <v>0</v>
      </c>
      <c r="BR22" s="281">
        <f t="shared" si="28"/>
        <v>0</v>
      </c>
      <c r="BS22" s="281">
        <f t="shared" si="28"/>
        <v>0</v>
      </c>
      <c r="BT22" s="281">
        <f t="shared" si="28"/>
        <v>0</v>
      </c>
      <c r="BU22" s="281">
        <f t="shared" si="28"/>
        <v>0</v>
      </c>
      <c r="BV22" s="281">
        <f t="shared" si="28"/>
        <v>0</v>
      </c>
      <c r="BW22" s="281">
        <f t="shared" si="28"/>
        <v>0</v>
      </c>
      <c r="BX22" s="281">
        <f t="shared" si="28"/>
        <v>0</v>
      </c>
      <c r="BY22" s="281">
        <f t="shared" si="28"/>
        <v>0</v>
      </c>
      <c r="BZ22" s="281">
        <f t="shared" si="28"/>
        <v>0</v>
      </c>
      <c r="CA22" s="281">
        <f t="shared" si="28"/>
        <v>0</v>
      </c>
      <c r="CB22" s="281">
        <f t="shared" si="28"/>
        <v>0</v>
      </c>
      <c r="CC22" s="281">
        <f t="shared" si="28"/>
        <v>0</v>
      </c>
      <c r="CD22" s="281">
        <f t="shared" si="28"/>
        <v>0</v>
      </c>
      <c r="CE22" s="281">
        <f t="shared" si="28"/>
        <v>0</v>
      </c>
      <c r="CF22" s="281">
        <f t="shared" si="28"/>
        <v>0</v>
      </c>
      <c r="CG22" s="281">
        <f t="shared" si="28"/>
        <v>0</v>
      </c>
      <c r="CH22" s="281">
        <f t="shared" si="28"/>
        <v>0</v>
      </c>
      <c r="CI22" s="281">
        <f t="shared" si="28"/>
        <v>0</v>
      </c>
      <c r="CJ22" s="281">
        <f t="shared" si="28"/>
        <v>0</v>
      </c>
      <c r="CK22" s="281">
        <f t="shared" si="28"/>
        <v>0</v>
      </c>
      <c r="CL22" s="281">
        <f t="shared" si="28"/>
        <v>0</v>
      </c>
      <c r="CM22" s="281">
        <f t="shared" si="28"/>
        <v>0</v>
      </c>
      <c r="CN22" s="281">
        <f t="shared" si="28"/>
        <v>0</v>
      </c>
      <c r="CO22" s="281">
        <f t="shared" si="28"/>
        <v>0</v>
      </c>
      <c r="CP22" s="281">
        <f t="shared" si="28"/>
        <v>0</v>
      </c>
      <c r="CQ22" s="281">
        <f t="shared" si="28"/>
        <v>0</v>
      </c>
      <c r="CR22" s="281">
        <f t="shared" si="28"/>
        <v>0</v>
      </c>
      <c r="CS22" s="281">
        <f t="shared" si="28"/>
        <v>0</v>
      </c>
      <c r="CT22" s="281">
        <f t="shared" si="28"/>
        <v>0</v>
      </c>
      <c r="CU22" s="281">
        <f t="shared" si="28"/>
        <v>0</v>
      </c>
      <c r="CV22" s="281">
        <f t="shared" si="28"/>
        <v>0</v>
      </c>
      <c r="CW22" s="281">
        <f t="shared" si="28"/>
        <v>0</v>
      </c>
      <c r="CX22" s="281">
        <f t="shared" si="28"/>
        <v>0</v>
      </c>
      <c r="CY22" s="281">
        <f t="shared" si="28"/>
        <v>0</v>
      </c>
      <c r="CZ22" s="281">
        <f t="shared" si="28"/>
        <v>0</v>
      </c>
      <c r="DA22" s="281">
        <f t="shared" si="28"/>
        <v>0</v>
      </c>
      <c r="DB22" s="281">
        <f t="shared" si="28"/>
        <v>0</v>
      </c>
      <c r="DC22" s="281">
        <f t="shared" si="28"/>
        <v>0</v>
      </c>
      <c r="DD22" s="281">
        <f t="shared" si="28"/>
        <v>0</v>
      </c>
      <c r="DE22" s="281">
        <f t="shared" si="28"/>
        <v>0</v>
      </c>
      <c r="DF22" s="281">
        <f t="shared" si="28"/>
        <v>0</v>
      </c>
      <c r="DG22" s="281">
        <f t="shared" si="28"/>
        <v>0</v>
      </c>
      <c r="DH22" s="281">
        <f t="shared" si="28"/>
        <v>0</v>
      </c>
      <c r="DI22" s="281">
        <f t="shared" si="28"/>
        <v>0</v>
      </c>
      <c r="DJ22" s="281">
        <f t="shared" si="28"/>
        <v>0</v>
      </c>
      <c r="DK22" s="281">
        <f t="shared" si="28"/>
        <v>0</v>
      </c>
      <c r="DL22" s="281">
        <f t="shared" si="28"/>
        <v>0</v>
      </c>
      <c r="DM22" s="281">
        <f t="shared" si="28"/>
        <v>0</v>
      </c>
      <c r="DN22" s="281">
        <f t="shared" si="28"/>
        <v>0</v>
      </c>
      <c r="DO22" s="281">
        <f t="shared" si="28"/>
        <v>0</v>
      </c>
      <c r="DP22" s="281">
        <f t="shared" si="28"/>
        <v>0</v>
      </c>
      <c r="DQ22" s="281">
        <f t="shared" si="28"/>
        <v>0</v>
      </c>
      <c r="DR22" s="281">
        <f t="shared" si="28"/>
        <v>0</v>
      </c>
      <c r="DS22" s="281">
        <f t="shared" si="28"/>
        <v>0</v>
      </c>
      <c r="DT22" s="281">
        <f t="shared" si="28"/>
        <v>0</v>
      </c>
      <c r="DU22" s="281">
        <f t="shared" si="28"/>
        <v>0</v>
      </c>
      <c r="DV22" s="281">
        <f t="shared" si="28"/>
        <v>0</v>
      </c>
      <c r="DW22" s="281">
        <f t="shared" si="1"/>
        <v>51226822922.929993</v>
      </c>
      <c r="DX22" s="281">
        <f t="shared" si="1"/>
        <v>39394096982.029999</v>
      </c>
      <c r="DY22" s="281">
        <f t="shared" si="1"/>
        <v>16986556073.290001</v>
      </c>
      <c r="DZ22" s="281">
        <f t="shared" si="1"/>
        <v>16913711874.470001</v>
      </c>
      <c r="EA22" s="282"/>
    </row>
    <row r="23" spans="1:132" ht="45.75" customHeight="1" x14ac:dyDescent="0.2">
      <c r="A23" s="284" t="s">
        <v>2001</v>
      </c>
      <c r="B23" s="285">
        <f t="shared" ref="B23:DV23" si="29">+B24+B39</f>
        <v>8372032500.79</v>
      </c>
      <c r="C23" s="285">
        <f t="shared" si="29"/>
        <v>1429999999.9999998</v>
      </c>
      <c r="D23" s="285">
        <f t="shared" si="29"/>
        <v>829961096.81999993</v>
      </c>
      <c r="E23" s="285">
        <f t="shared" si="29"/>
        <v>515162947.87999988</v>
      </c>
      <c r="F23" s="285">
        <f t="shared" si="29"/>
        <v>464195113.99999988</v>
      </c>
      <c r="G23" s="285">
        <f t="shared" si="29"/>
        <v>0</v>
      </c>
      <c r="H23" s="285">
        <f t="shared" si="29"/>
        <v>0</v>
      </c>
      <c r="I23" s="285">
        <f t="shared" si="29"/>
        <v>0</v>
      </c>
      <c r="J23" s="285">
        <f t="shared" si="29"/>
        <v>0</v>
      </c>
      <c r="K23" s="285">
        <f t="shared" si="29"/>
        <v>0</v>
      </c>
      <c r="L23" s="285">
        <f t="shared" si="29"/>
        <v>0</v>
      </c>
      <c r="M23" s="285">
        <f t="shared" si="29"/>
        <v>0</v>
      </c>
      <c r="N23" s="285">
        <f t="shared" si="29"/>
        <v>0</v>
      </c>
      <c r="O23" s="285">
        <f t="shared" si="29"/>
        <v>0</v>
      </c>
      <c r="P23" s="285">
        <f t="shared" si="29"/>
        <v>0</v>
      </c>
      <c r="Q23" s="285">
        <f t="shared" si="29"/>
        <v>0</v>
      </c>
      <c r="R23" s="285">
        <f t="shared" si="29"/>
        <v>0</v>
      </c>
      <c r="S23" s="285">
        <f t="shared" si="29"/>
        <v>0</v>
      </c>
      <c r="T23" s="285">
        <f t="shared" si="29"/>
        <v>0</v>
      </c>
      <c r="U23" s="285">
        <f t="shared" si="29"/>
        <v>0</v>
      </c>
      <c r="V23" s="285">
        <f t="shared" si="29"/>
        <v>0</v>
      </c>
      <c r="W23" s="285">
        <f t="shared" si="29"/>
        <v>0</v>
      </c>
      <c r="X23" s="285">
        <f t="shared" si="29"/>
        <v>0</v>
      </c>
      <c r="Y23" s="285">
        <f t="shared" si="29"/>
        <v>0</v>
      </c>
      <c r="Z23" s="285">
        <f t="shared" si="29"/>
        <v>0</v>
      </c>
      <c r="AA23" s="285">
        <f t="shared" si="29"/>
        <v>0</v>
      </c>
      <c r="AB23" s="285">
        <f t="shared" si="29"/>
        <v>0</v>
      </c>
      <c r="AC23" s="285">
        <f t="shared" si="29"/>
        <v>0</v>
      </c>
      <c r="AD23" s="285">
        <f t="shared" si="29"/>
        <v>0</v>
      </c>
      <c r="AE23" s="285">
        <f t="shared" si="29"/>
        <v>179878234.16000003</v>
      </c>
      <c r="AF23" s="285">
        <f t="shared" si="29"/>
        <v>11000000</v>
      </c>
      <c r="AG23" s="285">
        <f t="shared" si="29"/>
        <v>0</v>
      </c>
      <c r="AH23" s="285">
        <f t="shared" si="29"/>
        <v>0</v>
      </c>
      <c r="AI23" s="285">
        <f t="shared" si="29"/>
        <v>0</v>
      </c>
      <c r="AJ23" s="285">
        <f t="shared" si="29"/>
        <v>0</v>
      </c>
      <c r="AK23" s="285">
        <f t="shared" si="29"/>
        <v>0</v>
      </c>
      <c r="AL23" s="285">
        <f t="shared" si="29"/>
        <v>0</v>
      </c>
      <c r="AM23" s="285">
        <f t="shared" si="29"/>
        <v>0</v>
      </c>
      <c r="AN23" s="285">
        <f t="shared" si="29"/>
        <v>0</v>
      </c>
      <c r="AO23" s="285">
        <f t="shared" si="29"/>
        <v>0</v>
      </c>
      <c r="AP23" s="285">
        <f t="shared" si="29"/>
        <v>0</v>
      </c>
      <c r="AQ23" s="285">
        <f t="shared" si="29"/>
        <v>0</v>
      </c>
      <c r="AR23" s="285">
        <f t="shared" si="29"/>
        <v>0</v>
      </c>
      <c r="AS23" s="285">
        <f t="shared" si="29"/>
        <v>0</v>
      </c>
      <c r="AT23" s="285">
        <f t="shared" si="29"/>
        <v>0</v>
      </c>
      <c r="AU23" s="285">
        <f t="shared" si="29"/>
        <v>0</v>
      </c>
      <c r="AV23" s="285">
        <f t="shared" si="29"/>
        <v>0</v>
      </c>
      <c r="AW23" s="285">
        <f t="shared" si="29"/>
        <v>0</v>
      </c>
      <c r="AX23" s="285">
        <f t="shared" si="29"/>
        <v>0</v>
      </c>
      <c r="AY23" s="285">
        <f t="shared" si="29"/>
        <v>340000000</v>
      </c>
      <c r="AZ23" s="285">
        <f t="shared" si="29"/>
        <v>0</v>
      </c>
      <c r="BA23" s="285">
        <f t="shared" si="29"/>
        <v>0</v>
      </c>
      <c r="BB23" s="285">
        <f t="shared" si="29"/>
        <v>0</v>
      </c>
      <c r="BC23" s="285">
        <f t="shared" si="29"/>
        <v>5762154266.6300001</v>
      </c>
      <c r="BD23" s="285">
        <f t="shared" si="29"/>
        <v>2228241464.6300001</v>
      </c>
      <c r="BE23" s="285">
        <f t="shared" si="29"/>
        <v>927550978.59000003</v>
      </c>
      <c r="BF23" s="285">
        <f t="shared" si="29"/>
        <v>927550978.59000003</v>
      </c>
      <c r="BG23" s="285">
        <f t="shared" si="29"/>
        <v>660000000</v>
      </c>
      <c r="BH23" s="285">
        <f t="shared" si="29"/>
        <v>536390026.50000012</v>
      </c>
      <c r="BI23" s="285">
        <f t="shared" si="29"/>
        <v>0</v>
      </c>
      <c r="BJ23" s="285">
        <f t="shared" si="29"/>
        <v>0</v>
      </c>
      <c r="BK23" s="285">
        <f t="shared" si="29"/>
        <v>0</v>
      </c>
      <c r="BL23" s="285">
        <f t="shared" si="29"/>
        <v>0</v>
      </c>
      <c r="BM23" s="285">
        <f t="shared" si="29"/>
        <v>0</v>
      </c>
      <c r="BN23" s="285">
        <f t="shared" si="29"/>
        <v>0</v>
      </c>
      <c r="BO23" s="285">
        <f t="shared" si="29"/>
        <v>0</v>
      </c>
      <c r="BP23" s="285">
        <f t="shared" si="29"/>
        <v>0</v>
      </c>
      <c r="BQ23" s="285">
        <f t="shared" si="29"/>
        <v>0</v>
      </c>
      <c r="BR23" s="285">
        <f t="shared" si="29"/>
        <v>0</v>
      </c>
      <c r="BS23" s="285">
        <f t="shared" si="29"/>
        <v>0</v>
      </c>
      <c r="BT23" s="285">
        <f t="shared" si="29"/>
        <v>0</v>
      </c>
      <c r="BU23" s="285">
        <f t="shared" si="29"/>
        <v>0</v>
      </c>
      <c r="BV23" s="285">
        <f t="shared" si="29"/>
        <v>0</v>
      </c>
      <c r="BW23" s="285">
        <f t="shared" si="29"/>
        <v>0</v>
      </c>
      <c r="BX23" s="285">
        <f t="shared" si="29"/>
        <v>0</v>
      </c>
      <c r="BY23" s="285">
        <f t="shared" si="29"/>
        <v>0</v>
      </c>
      <c r="BZ23" s="285">
        <f t="shared" si="29"/>
        <v>0</v>
      </c>
      <c r="CA23" s="285">
        <f t="shared" si="29"/>
        <v>0</v>
      </c>
      <c r="CB23" s="285">
        <f t="shared" si="29"/>
        <v>0</v>
      </c>
      <c r="CC23" s="285">
        <f t="shared" si="29"/>
        <v>0</v>
      </c>
      <c r="CD23" s="285">
        <f t="shared" si="29"/>
        <v>0</v>
      </c>
      <c r="CE23" s="285">
        <f t="shared" si="29"/>
        <v>0</v>
      </c>
      <c r="CF23" s="285">
        <f t="shared" si="29"/>
        <v>0</v>
      </c>
      <c r="CG23" s="285">
        <f t="shared" si="29"/>
        <v>0</v>
      </c>
      <c r="CH23" s="285">
        <f t="shared" si="29"/>
        <v>0</v>
      </c>
      <c r="CI23" s="285">
        <f t="shared" si="29"/>
        <v>0</v>
      </c>
      <c r="CJ23" s="285">
        <f t="shared" si="29"/>
        <v>0</v>
      </c>
      <c r="CK23" s="285">
        <f t="shared" si="29"/>
        <v>0</v>
      </c>
      <c r="CL23" s="285">
        <f t="shared" si="29"/>
        <v>0</v>
      </c>
      <c r="CM23" s="285">
        <f t="shared" si="29"/>
        <v>0</v>
      </c>
      <c r="CN23" s="285">
        <f t="shared" si="29"/>
        <v>0</v>
      </c>
      <c r="CO23" s="285">
        <f t="shared" si="29"/>
        <v>0</v>
      </c>
      <c r="CP23" s="285">
        <f t="shared" si="29"/>
        <v>0</v>
      </c>
      <c r="CQ23" s="285">
        <f t="shared" si="29"/>
        <v>0</v>
      </c>
      <c r="CR23" s="285">
        <f t="shared" si="29"/>
        <v>0</v>
      </c>
      <c r="CS23" s="285">
        <f t="shared" si="29"/>
        <v>0</v>
      </c>
      <c r="CT23" s="285">
        <f t="shared" si="29"/>
        <v>0</v>
      </c>
      <c r="CU23" s="285">
        <f t="shared" si="29"/>
        <v>0</v>
      </c>
      <c r="CV23" s="285">
        <f t="shared" si="29"/>
        <v>0</v>
      </c>
      <c r="CW23" s="285">
        <f t="shared" si="29"/>
        <v>0</v>
      </c>
      <c r="CX23" s="285">
        <f t="shared" si="29"/>
        <v>0</v>
      </c>
      <c r="CY23" s="285">
        <f t="shared" si="29"/>
        <v>0</v>
      </c>
      <c r="CZ23" s="285">
        <f t="shared" si="29"/>
        <v>0</v>
      </c>
      <c r="DA23" s="285">
        <f t="shared" si="29"/>
        <v>0</v>
      </c>
      <c r="DB23" s="285">
        <f t="shared" si="29"/>
        <v>0</v>
      </c>
      <c r="DC23" s="285">
        <f t="shared" si="29"/>
        <v>0</v>
      </c>
      <c r="DD23" s="285">
        <f t="shared" si="29"/>
        <v>0</v>
      </c>
      <c r="DE23" s="285">
        <f t="shared" si="29"/>
        <v>0</v>
      </c>
      <c r="DF23" s="285">
        <f t="shared" si="29"/>
        <v>0</v>
      </c>
      <c r="DG23" s="285">
        <f t="shared" si="29"/>
        <v>0</v>
      </c>
      <c r="DH23" s="285">
        <f t="shared" si="29"/>
        <v>0</v>
      </c>
      <c r="DI23" s="285">
        <f t="shared" si="29"/>
        <v>0</v>
      </c>
      <c r="DJ23" s="285">
        <f t="shared" si="29"/>
        <v>0</v>
      </c>
      <c r="DK23" s="285">
        <f t="shared" si="29"/>
        <v>0</v>
      </c>
      <c r="DL23" s="285">
        <f t="shared" si="29"/>
        <v>0</v>
      </c>
      <c r="DM23" s="285">
        <f t="shared" si="29"/>
        <v>0</v>
      </c>
      <c r="DN23" s="285">
        <f t="shared" si="29"/>
        <v>0</v>
      </c>
      <c r="DO23" s="285">
        <f t="shared" si="29"/>
        <v>0</v>
      </c>
      <c r="DP23" s="285">
        <f t="shared" si="29"/>
        <v>0</v>
      </c>
      <c r="DQ23" s="285">
        <f t="shared" si="29"/>
        <v>0</v>
      </c>
      <c r="DR23" s="285">
        <f t="shared" si="29"/>
        <v>0</v>
      </c>
      <c r="DS23" s="285">
        <f t="shared" si="29"/>
        <v>0</v>
      </c>
      <c r="DT23" s="285">
        <f t="shared" si="29"/>
        <v>0</v>
      </c>
      <c r="DU23" s="285">
        <f t="shared" si="29"/>
        <v>0</v>
      </c>
      <c r="DV23" s="285">
        <f t="shared" si="29"/>
        <v>0</v>
      </c>
      <c r="DW23" s="307">
        <f t="shared" si="1"/>
        <v>8372032500.79</v>
      </c>
      <c r="DX23" s="307">
        <f t="shared" si="1"/>
        <v>3605592587.9499998</v>
      </c>
      <c r="DY23" s="307">
        <f t="shared" si="1"/>
        <v>1442713926.4699998</v>
      </c>
      <c r="DZ23" s="307">
        <f t="shared" si="1"/>
        <v>1391746092.5899999</v>
      </c>
      <c r="EA23" s="287"/>
    </row>
    <row r="24" spans="1:132" ht="45.75" customHeight="1" x14ac:dyDescent="0.2">
      <c r="A24" s="303" t="s">
        <v>2002</v>
      </c>
      <c r="B24" s="290">
        <f>SUM(B25:B38)</f>
        <v>7892032500.79</v>
      </c>
      <c r="C24" s="290">
        <f t="shared" ref="C24:DV24" si="30">SUM(C25:C38)</f>
        <v>1129999999.9999998</v>
      </c>
      <c r="D24" s="290">
        <f t="shared" si="30"/>
        <v>757126546.81999993</v>
      </c>
      <c r="E24" s="290">
        <f t="shared" si="30"/>
        <v>442466957.87999988</v>
      </c>
      <c r="F24" s="290">
        <f t="shared" si="30"/>
        <v>391499123.99999988</v>
      </c>
      <c r="G24" s="290">
        <f t="shared" si="30"/>
        <v>0</v>
      </c>
      <c r="H24" s="290">
        <f t="shared" si="30"/>
        <v>0</v>
      </c>
      <c r="I24" s="290">
        <f t="shared" si="30"/>
        <v>0</v>
      </c>
      <c r="J24" s="290">
        <f t="shared" si="30"/>
        <v>0</v>
      </c>
      <c r="K24" s="290">
        <f t="shared" si="30"/>
        <v>0</v>
      </c>
      <c r="L24" s="290">
        <f t="shared" si="30"/>
        <v>0</v>
      </c>
      <c r="M24" s="290">
        <f t="shared" si="30"/>
        <v>0</v>
      </c>
      <c r="N24" s="290">
        <f t="shared" si="30"/>
        <v>0</v>
      </c>
      <c r="O24" s="290">
        <f t="shared" si="30"/>
        <v>0</v>
      </c>
      <c r="P24" s="290">
        <f t="shared" si="30"/>
        <v>0</v>
      </c>
      <c r="Q24" s="290">
        <f t="shared" si="30"/>
        <v>0</v>
      </c>
      <c r="R24" s="290">
        <f t="shared" si="30"/>
        <v>0</v>
      </c>
      <c r="S24" s="290">
        <f t="shared" si="30"/>
        <v>0</v>
      </c>
      <c r="T24" s="290">
        <f t="shared" si="30"/>
        <v>0</v>
      </c>
      <c r="U24" s="290">
        <f t="shared" si="30"/>
        <v>0</v>
      </c>
      <c r="V24" s="290">
        <f t="shared" si="30"/>
        <v>0</v>
      </c>
      <c r="W24" s="290">
        <f t="shared" si="30"/>
        <v>0</v>
      </c>
      <c r="X24" s="290">
        <f t="shared" si="30"/>
        <v>0</v>
      </c>
      <c r="Y24" s="290">
        <f t="shared" si="30"/>
        <v>0</v>
      </c>
      <c r="Z24" s="290">
        <f t="shared" si="30"/>
        <v>0</v>
      </c>
      <c r="AA24" s="290">
        <f t="shared" si="30"/>
        <v>0</v>
      </c>
      <c r="AB24" s="290">
        <f t="shared" si="30"/>
        <v>0</v>
      </c>
      <c r="AC24" s="290">
        <f t="shared" si="30"/>
        <v>0</v>
      </c>
      <c r="AD24" s="290">
        <f t="shared" si="30"/>
        <v>0</v>
      </c>
      <c r="AE24" s="290">
        <f t="shared" si="30"/>
        <v>169878234.16000003</v>
      </c>
      <c r="AF24" s="290">
        <f t="shared" si="30"/>
        <v>11000000</v>
      </c>
      <c r="AG24" s="290">
        <f t="shared" si="30"/>
        <v>0</v>
      </c>
      <c r="AH24" s="290">
        <f t="shared" si="30"/>
        <v>0</v>
      </c>
      <c r="AI24" s="290">
        <f t="shared" si="30"/>
        <v>0</v>
      </c>
      <c r="AJ24" s="290">
        <f t="shared" si="30"/>
        <v>0</v>
      </c>
      <c r="AK24" s="290">
        <f t="shared" si="30"/>
        <v>0</v>
      </c>
      <c r="AL24" s="290">
        <f t="shared" si="30"/>
        <v>0</v>
      </c>
      <c r="AM24" s="290">
        <f t="shared" si="30"/>
        <v>0</v>
      </c>
      <c r="AN24" s="290">
        <f t="shared" si="30"/>
        <v>0</v>
      </c>
      <c r="AO24" s="290">
        <f t="shared" si="30"/>
        <v>0</v>
      </c>
      <c r="AP24" s="290">
        <f t="shared" si="30"/>
        <v>0</v>
      </c>
      <c r="AQ24" s="290">
        <f t="shared" si="30"/>
        <v>0</v>
      </c>
      <c r="AR24" s="290">
        <f t="shared" si="30"/>
        <v>0</v>
      </c>
      <c r="AS24" s="290">
        <f t="shared" si="30"/>
        <v>0</v>
      </c>
      <c r="AT24" s="290">
        <f t="shared" si="30"/>
        <v>0</v>
      </c>
      <c r="AU24" s="290">
        <f t="shared" si="30"/>
        <v>0</v>
      </c>
      <c r="AV24" s="290">
        <f t="shared" si="30"/>
        <v>0</v>
      </c>
      <c r="AW24" s="290">
        <f t="shared" si="30"/>
        <v>0</v>
      </c>
      <c r="AX24" s="290">
        <f t="shared" si="30"/>
        <v>0</v>
      </c>
      <c r="AY24" s="290">
        <f t="shared" si="30"/>
        <v>169999999.99999997</v>
      </c>
      <c r="AZ24" s="290">
        <f t="shared" si="30"/>
        <v>0</v>
      </c>
      <c r="BA24" s="290">
        <f t="shared" si="30"/>
        <v>0</v>
      </c>
      <c r="BB24" s="290">
        <f t="shared" si="30"/>
        <v>0</v>
      </c>
      <c r="BC24" s="290">
        <f t="shared" si="30"/>
        <v>5762154266.6300001</v>
      </c>
      <c r="BD24" s="290">
        <f t="shared" si="30"/>
        <v>2228241464.6300001</v>
      </c>
      <c r="BE24" s="290">
        <f t="shared" si="30"/>
        <v>927550978.59000003</v>
      </c>
      <c r="BF24" s="290">
        <f t="shared" si="30"/>
        <v>927550978.59000003</v>
      </c>
      <c r="BG24" s="290">
        <f t="shared" si="30"/>
        <v>660000000</v>
      </c>
      <c r="BH24" s="290">
        <f t="shared" si="30"/>
        <v>536390026.50000012</v>
      </c>
      <c r="BI24" s="290">
        <f t="shared" si="30"/>
        <v>0</v>
      </c>
      <c r="BJ24" s="290">
        <f t="shared" si="30"/>
        <v>0</v>
      </c>
      <c r="BK24" s="290">
        <f t="shared" si="30"/>
        <v>0</v>
      </c>
      <c r="BL24" s="290">
        <f t="shared" si="30"/>
        <v>0</v>
      </c>
      <c r="BM24" s="290">
        <f t="shared" si="30"/>
        <v>0</v>
      </c>
      <c r="BN24" s="290">
        <f t="shared" si="30"/>
        <v>0</v>
      </c>
      <c r="BO24" s="290">
        <f t="shared" si="30"/>
        <v>0</v>
      </c>
      <c r="BP24" s="290">
        <f t="shared" si="30"/>
        <v>0</v>
      </c>
      <c r="BQ24" s="290">
        <f t="shared" si="30"/>
        <v>0</v>
      </c>
      <c r="BR24" s="290">
        <f t="shared" si="30"/>
        <v>0</v>
      </c>
      <c r="BS24" s="290">
        <f t="shared" si="30"/>
        <v>0</v>
      </c>
      <c r="BT24" s="290">
        <f t="shared" si="30"/>
        <v>0</v>
      </c>
      <c r="BU24" s="290">
        <f t="shared" si="30"/>
        <v>0</v>
      </c>
      <c r="BV24" s="290">
        <f t="shared" si="30"/>
        <v>0</v>
      </c>
      <c r="BW24" s="290">
        <f t="shared" si="30"/>
        <v>0</v>
      </c>
      <c r="BX24" s="290">
        <f t="shared" si="30"/>
        <v>0</v>
      </c>
      <c r="BY24" s="290">
        <f t="shared" si="30"/>
        <v>0</v>
      </c>
      <c r="BZ24" s="290">
        <f t="shared" si="30"/>
        <v>0</v>
      </c>
      <c r="CA24" s="290">
        <f t="shared" si="30"/>
        <v>0</v>
      </c>
      <c r="CB24" s="290">
        <f t="shared" si="30"/>
        <v>0</v>
      </c>
      <c r="CC24" s="290">
        <f t="shared" si="30"/>
        <v>0</v>
      </c>
      <c r="CD24" s="290">
        <f t="shared" si="30"/>
        <v>0</v>
      </c>
      <c r="CE24" s="290">
        <f t="shared" si="30"/>
        <v>0</v>
      </c>
      <c r="CF24" s="290">
        <f t="shared" si="30"/>
        <v>0</v>
      </c>
      <c r="CG24" s="290">
        <f t="shared" si="30"/>
        <v>0</v>
      </c>
      <c r="CH24" s="290">
        <f t="shared" si="30"/>
        <v>0</v>
      </c>
      <c r="CI24" s="290">
        <f t="shared" si="30"/>
        <v>0</v>
      </c>
      <c r="CJ24" s="290">
        <f t="shared" si="30"/>
        <v>0</v>
      </c>
      <c r="CK24" s="290">
        <f t="shared" si="30"/>
        <v>0</v>
      </c>
      <c r="CL24" s="290">
        <f t="shared" si="30"/>
        <v>0</v>
      </c>
      <c r="CM24" s="290">
        <f t="shared" si="30"/>
        <v>0</v>
      </c>
      <c r="CN24" s="290">
        <f t="shared" si="30"/>
        <v>0</v>
      </c>
      <c r="CO24" s="290">
        <f t="shared" si="30"/>
        <v>0</v>
      </c>
      <c r="CP24" s="290">
        <f t="shared" si="30"/>
        <v>0</v>
      </c>
      <c r="CQ24" s="290">
        <f t="shared" si="30"/>
        <v>0</v>
      </c>
      <c r="CR24" s="290">
        <f t="shared" si="30"/>
        <v>0</v>
      </c>
      <c r="CS24" s="290">
        <f t="shared" si="30"/>
        <v>0</v>
      </c>
      <c r="CT24" s="290">
        <f t="shared" si="30"/>
        <v>0</v>
      </c>
      <c r="CU24" s="290">
        <f t="shared" si="30"/>
        <v>0</v>
      </c>
      <c r="CV24" s="290">
        <f t="shared" si="30"/>
        <v>0</v>
      </c>
      <c r="CW24" s="290">
        <f t="shared" si="30"/>
        <v>0</v>
      </c>
      <c r="CX24" s="290">
        <f t="shared" si="30"/>
        <v>0</v>
      </c>
      <c r="CY24" s="290">
        <f t="shared" si="30"/>
        <v>0</v>
      </c>
      <c r="CZ24" s="290">
        <f t="shared" si="30"/>
        <v>0</v>
      </c>
      <c r="DA24" s="290">
        <f t="shared" si="30"/>
        <v>0</v>
      </c>
      <c r="DB24" s="290">
        <f t="shared" si="30"/>
        <v>0</v>
      </c>
      <c r="DC24" s="290">
        <f t="shared" si="30"/>
        <v>0</v>
      </c>
      <c r="DD24" s="290">
        <f t="shared" si="30"/>
        <v>0</v>
      </c>
      <c r="DE24" s="290">
        <f t="shared" si="30"/>
        <v>0</v>
      </c>
      <c r="DF24" s="290">
        <f t="shared" si="30"/>
        <v>0</v>
      </c>
      <c r="DG24" s="290">
        <f t="shared" si="30"/>
        <v>0</v>
      </c>
      <c r="DH24" s="290">
        <f t="shared" si="30"/>
        <v>0</v>
      </c>
      <c r="DI24" s="290">
        <f t="shared" si="30"/>
        <v>0</v>
      </c>
      <c r="DJ24" s="290">
        <f t="shared" si="30"/>
        <v>0</v>
      </c>
      <c r="DK24" s="290">
        <f t="shared" si="30"/>
        <v>0</v>
      </c>
      <c r="DL24" s="290">
        <f t="shared" si="30"/>
        <v>0</v>
      </c>
      <c r="DM24" s="290">
        <f t="shared" si="30"/>
        <v>0</v>
      </c>
      <c r="DN24" s="290">
        <f t="shared" si="30"/>
        <v>0</v>
      </c>
      <c r="DO24" s="290">
        <f t="shared" si="30"/>
        <v>0</v>
      </c>
      <c r="DP24" s="290">
        <f t="shared" si="30"/>
        <v>0</v>
      </c>
      <c r="DQ24" s="290">
        <f t="shared" si="30"/>
        <v>0</v>
      </c>
      <c r="DR24" s="290">
        <f t="shared" si="30"/>
        <v>0</v>
      </c>
      <c r="DS24" s="290">
        <f t="shared" si="30"/>
        <v>0</v>
      </c>
      <c r="DT24" s="290">
        <f t="shared" si="30"/>
        <v>0</v>
      </c>
      <c r="DU24" s="290">
        <f t="shared" si="30"/>
        <v>0</v>
      </c>
      <c r="DV24" s="290">
        <f t="shared" si="30"/>
        <v>0</v>
      </c>
      <c r="DW24" s="286">
        <f t="shared" si="1"/>
        <v>7892032500.79</v>
      </c>
      <c r="DX24" s="286">
        <f t="shared" si="1"/>
        <v>3532758037.9499998</v>
      </c>
      <c r="DY24" s="286">
        <f t="shared" si="1"/>
        <v>1370017936.4699998</v>
      </c>
      <c r="DZ24" s="286">
        <f t="shared" si="1"/>
        <v>1319050102.5899999</v>
      </c>
      <c r="EA24" s="291">
        <f>+SUM(DW25:DW38)-DW24</f>
        <v>0</v>
      </c>
      <c r="EB24" s="292">
        <f>+DW24-B24</f>
        <v>0</v>
      </c>
    </row>
    <row r="25" spans="1:132" ht="45.75" customHeight="1" x14ac:dyDescent="0.2">
      <c r="A25" s="293" t="s">
        <v>2003</v>
      </c>
      <c r="B25" s="294">
        <f>DW24</f>
        <v>7892032500.79</v>
      </c>
      <c r="C25" s="295">
        <f>1130000000/13</f>
        <v>86923076.923076928</v>
      </c>
      <c r="D25" s="295">
        <f>757126546.82/13</f>
        <v>58240503.601538464</v>
      </c>
      <c r="E25" s="295">
        <f>442466957.88/13</f>
        <v>34035919.836923078</v>
      </c>
      <c r="F25" s="295">
        <f>391499124/13</f>
        <v>30115317.230769232</v>
      </c>
      <c r="G25" s="295">
        <v>0</v>
      </c>
      <c r="H25" s="295">
        <v>0</v>
      </c>
      <c r="I25" s="295">
        <v>0</v>
      </c>
      <c r="J25" s="295">
        <v>0</v>
      </c>
      <c r="K25" s="295">
        <v>0</v>
      </c>
      <c r="L25" s="295">
        <v>0</v>
      </c>
      <c r="M25" s="295">
        <v>0</v>
      </c>
      <c r="N25" s="295">
        <v>0</v>
      </c>
      <c r="O25" s="295">
        <v>0</v>
      </c>
      <c r="P25" s="295">
        <v>0</v>
      </c>
      <c r="Q25" s="295">
        <v>0</v>
      </c>
      <c r="R25" s="295">
        <v>0</v>
      </c>
      <c r="S25" s="295">
        <v>0</v>
      </c>
      <c r="T25" s="295">
        <v>0</v>
      </c>
      <c r="U25" s="295">
        <v>0</v>
      </c>
      <c r="V25" s="295">
        <v>0</v>
      </c>
      <c r="W25" s="295">
        <v>0</v>
      </c>
      <c r="X25" s="295">
        <v>0</v>
      </c>
      <c r="Y25" s="295">
        <v>0</v>
      </c>
      <c r="Z25" s="295">
        <v>0</v>
      </c>
      <c r="AA25" s="295">
        <v>0</v>
      </c>
      <c r="AB25" s="295">
        <v>0</v>
      </c>
      <c r="AC25" s="295">
        <v>0</v>
      </c>
      <c r="AD25" s="295">
        <v>0</v>
      </c>
      <c r="AE25" s="295">
        <f>169878234.16/13</f>
        <v>13067556.473846154</v>
      </c>
      <c r="AF25" s="295">
        <f>11000000/13</f>
        <v>846153.84615384613</v>
      </c>
      <c r="AG25" s="295">
        <v>0</v>
      </c>
      <c r="AH25" s="295">
        <v>0</v>
      </c>
      <c r="AI25" s="295">
        <v>0</v>
      </c>
      <c r="AJ25" s="295">
        <v>0</v>
      </c>
      <c r="AK25" s="295">
        <v>0</v>
      </c>
      <c r="AL25" s="295">
        <v>0</v>
      </c>
      <c r="AM25" s="295">
        <v>0</v>
      </c>
      <c r="AN25" s="295">
        <v>0</v>
      </c>
      <c r="AO25" s="295">
        <v>0</v>
      </c>
      <c r="AP25" s="295">
        <v>0</v>
      </c>
      <c r="AQ25" s="295">
        <v>0</v>
      </c>
      <c r="AR25" s="295">
        <v>0</v>
      </c>
      <c r="AS25" s="295">
        <v>0</v>
      </c>
      <c r="AT25" s="295">
        <v>0</v>
      </c>
      <c r="AU25" s="295">
        <v>0</v>
      </c>
      <c r="AV25" s="295">
        <v>0</v>
      </c>
      <c r="AW25" s="295">
        <v>0</v>
      </c>
      <c r="AX25" s="295">
        <v>0</v>
      </c>
      <c r="AY25" s="295">
        <f>170000000/13</f>
        <v>13076923.076923076</v>
      </c>
      <c r="AZ25" s="295">
        <v>0</v>
      </c>
      <c r="BA25" s="295">
        <v>0</v>
      </c>
      <c r="BB25" s="295">
        <v>0</v>
      </c>
      <c r="BC25" s="295">
        <v>2146599700.1199999</v>
      </c>
      <c r="BD25" s="295">
        <v>2146599700.1199999</v>
      </c>
      <c r="BE25" s="295">
        <v>845909214.08000004</v>
      </c>
      <c r="BF25" s="295">
        <v>845909214.08000004</v>
      </c>
      <c r="BG25" s="295">
        <f>660000000/13</f>
        <v>50769230.769230768</v>
      </c>
      <c r="BH25" s="295">
        <f>536390026.5/13</f>
        <v>41260771.269230768</v>
      </c>
      <c r="BI25" s="295">
        <v>0</v>
      </c>
      <c r="BJ25" s="295">
        <v>0</v>
      </c>
      <c r="BK25" s="295">
        <v>0</v>
      </c>
      <c r="BL25" s="295">
        <v>0</v>
      </c>
      <c r="BM25" s="295">
        <v>0</v>
      </c>
      <c r="BN25" s="295">
        <v>0</v>
      </c>
      <c r="BO25" s="295">
        <v>0</v>
      </c>
      <c r="BP25" s="295">
        <v>0</v>
      </c>
      <c r="BQ25" s="295">
        <v>0</v>
      </c>
      <c r="BR25" s="295">
        <v>0</v>
      </c>
      <c r="BS25" s="295">
        <v>0</v>
      </c>
      <c r="BT25" s="295">
        <v>0</v>
      </c>
      <c r="BU25" s="295">
        <v>0</v>
      </c>
      <c r="BV25" s="295">
        <v>0</v>
      </c>
      <c r="BW25" s="295">
        <v>0</v>
      </c>
      <c r="BX25" s="295">
        <v>0</v>
      </c>
      <c r="BY25" s="295">
        <v>0</v>
      </c>
      <c r="BZ25" s="295">
        <v>0</v>
      </c>
      <c r="CA25" s="295">
        <v>0</v>
      </c>
      <c r="CB25" s="295">
        <v>0</v>
      </c>
      <c r="CC25" s="295">
        <v>0</v>
      </c>
      <c r="CD25" s="295">
        <v>0</v>
      </c>
      <c r="CE25" s="295">
        <v>0</v>
      </c>
      <c r="CF25" s="295">
        <v>0</v>
      </c>
      <c r="CG25" s="295">
        <v>0</v>
      </c>
      <c r="CH25" s="295">
        <v>0</v>
      </c>
      <c r="CI25" s="295">
        <v>0</v>
      </c>
      <c r="CJ25" s="295">
        <v>0</v>
      </c>
      <c r="CK25" s="295">
        <v>0</v>
      </c>
      <c r="CL25" s="295">
        <v>0</v>
      </c>
      <c r="CM25" s="295">
        <v>0</v>
      </c>
      <c r="CN25" s="295">
        <v>0</v>
      </c>
      <c r="CO25" s="295">
        <v>0</v>
      </c>
      <c r="CP25" s="295">
        <v>0</v>
      </c>
      <c r="CQ25" s="295">
        <v>0</v>
      </c>
      <c r="CR25" s="295">
        <v>0</v>
      </c>
      <c r="CS25" s="295">
        <v>0</v>
      </c>
      <c r="CT25" s="295">
        <v>0</v>
      </c>
      <c r="CU25" s="295">
        <v>0</v>
      </c>
      <c r="CV25" s="295">
        <v>0</v>
      </c>
      <c r="CW25" s="295">
        <v>0</v>
      </c>
      <c r="CX25" s="295">
        <v>0</v>
      </c>
      <c r="CY25" s="295">
        <v>0</v>
      </c>
      <c r="CZ25" s="295">
        <v>0</v>
      </c>
      <c r="DA25" s="295">
        <v>0</v>
      </c>
      <c r="DB25" s="295">
        <v>0</v>
      </c>
      <c r="DC25" s="295">
        <v>0</v>
      </c>
      <c r="DD25" s="295">
        <v>0</v>
      </c>
      <c r="DE25" s="295">
        <v>0</v>
      </c>
      <c r="DF25" s="295">
        <v>0</v>
      </c>
      <c r="DG25" s="295">
        <v>0</v>
      </c>
      <c r="DH25" s="295">
        <v>0</v>
      </c>
      <c r="DI25" s="295">
        <v>0</v>
      </c>
      <c r="DJ25" s="295">
        <v>0</v>
      </c>
      <c r="DK25" s="295">
        <v>0</v>
      </c>
      <c r="DL25" s="295">
        <v>0</v>
      </c>
      <c r="DM25" s="295">
        <v>0</v>
      </c>
      <c r="DN25" s="295">
        <v>0</v>
      </c>
      <c r="DO25" s="295">
        <v>0</v>
      </c>
      <c r="DP25" s="295">
        <v>0</v>
      </c>
      <c r="DQ25" s="295">
        <v>0</v>
      </c>
      <c r="DR25" s="295">
        <v>0</v>
      </c>
      <c r="DS25" s="295">
        <v>0</v>
      </c>
      <c r="DT25" s="295">
        <v>0</v>
      </c>
      <c r="DU25" s="295">
        <v>0</v>
      </c>
      <c r="DV25" s="295">
        <v>0</v>
      </c>
      <c r="DW25" s="296">
        <f t="shared" si="1"/>
        <v>2310436487.3630767</v>
      </c>
      <c r="DX25" s="296">
        <f t="shared" si="1"/>
        <v>2246947128.8369231</v>
      </c>
      <c r="DY25" s="296">
        <f t="shared" si="1"/>
        <v>879945133.91692317</v>
      </c>
      <c r="DZ25" s="296">
        <f t="shared" si="1"/>
        <v>876024531.31076932</v>
      </c>
      <c r="EA25" s="287"/>
    </row>
    <row r="26" spans="1:132" ht="45.75" customHeight="1" x14ac:dyDescent="0.2">
      <c r="A26" s="308" t="s">
        <v>2004</v>
      </c>
      <c r="B26" s="298"/>
      <c r="C26" s="295">
        <f t="shared" ref="C26:C38" si="31">1130000000/13</f>
        <v>86923076.923076928</v>
      </c>
      <c r="D26" s="295">
        <f t="shared" ref="D26:D38" si="32">757126546.82/13</f>
        <v>58240503.601538464</v>
      </c>
      <c r="E26" s="295">
        <f t="shared" ref="E26:E38" si="33">442466957.88/13</f>
        <v>34035919.836923078</v>
      </c>
      <c r="F26" s="295">
        <f t="shared" ref="F26:F38" si="34">391499124/13</f>
        <v>30115317.230769232</v>
      </c>
      <c r="G26" s="295">
        <v>0</v>
      </c>
      <c r="H26" s="295">
        <v>0</v>
      </c>
      <c r="I26" s="295">
        <v>0</v>
      </c>
      <c r="J26" s="295">
        <v>0</v>
      </c>
      <c r="K26" s="295">
        <v>0</v>
      </c>
      <c r="L26" s="295">
        <v>0</v>
      </c>
      <c r="M26" s="295">
        <v>0</v>
      </c>
      <c r="N26" s="295">
        <v>0</v>
      </c>
      <c r="O26" s="295">
        <v>0</v>
      </c>
      <c r="P26" s="295">
        <v>0</v>
      </c>
      <c r="Q26" s="295">
        <v>0</v>
      </c>
      <c r="R26" s="295">
        <v>0</v>
      </c>
      <c r="S26" s="295">
        <v>0</v>
      </c>
      <c r="T26" s="295">
        <v>0</v>
      </c>
      <c r="U26" s="295">
        <v>0</v>
      </c>
      <c r="V26" s="295">
        <v>0</v>
      </c>
      <c r="W26" s="295">
        <v>0</v>
      </c>
      <c r="X26" s="295">
        <v>0</v>
      </c>
      <c r="Y26" s="295">
        <v>0</v>
      </c>
      <c r="Z26" s="295">
        <v>0</v>
      </c>
      <c r="AA26" s="295">
        <v>0</v>
      </c>
      <c r="AB26" s="295">
        <v>0</v>
      </c>
      <c r="AC26" s="295">
        <v>0</v>
      </c>
      <c r="AD26" s="295">
        <v>0</v>
      </c>
      <c r="AE26" s="295">
        <f t="shared" ref="AE26:AE38" si="35">169878234.16/13</f>
        <v>13067556.473846154</v>
      </c>
      <c r="AF26" s="295">
        <f t="shared" ref="AF26:AF38" si="36">11000000/13</f>
        <v>846153.84615384613</v>
      </c>
      <c r="AG26" s="295">
        <v>0</v>
      </c>
      <c r="AH26" s="295">
        <v>0</v>
      </c>
      <c r="AI26" s="295">
        <v>0</v>
      </c>
      <c r="AJ26" s="295">
        <v>0</v>
      </c>
      <c r="AK26" s="295">
        <v>0</v>
      </c>
      <c r="AL26" s="295">
        <v>0</v>
      </c>
      <c r="AM26" s="300">
        <v>0</v>
      </c>
      <c r="AN26" s="300">
        <v>0</v>
      </c>
      <c r="AO26" s="300">
        <v>0</v>
      </c>
      <c r="AP26" s="300">
        <v>0</v>
      </c>
      <c r="AQ26" s="300">
        <v>0</v>
      </c>
      <c r="AR26" s="300">
        <v>0</v>
      </c>
      <c r="AS26" s="300">
        <v>0</v>
      </c>
      <c r="AT26" s="300">
        <v>0</v>
      </c>
      <c r="AU26" s="300">
        <v>0</v>
      </c>
      <c r="AV26" s="300">
        <v>0</v>
      </c>
      <c r="AW26" s="300">
        <v>0</v>
      </c>
      <c r="AX26" s="300">
        <v>0</v>
      </c>
      <c r="AY26" s="295">
        <f t="shared" ref="AY26:AY38" si="37">170000000/13</f>
        <v>13076923.076923076</v>
      </c>
      <c r="AZ26" s="295">
        <v>0</v>
      </c>
      <c r="BA26" s="295">
        <v>0</v>
      </c>
      <c r="BB26" s="295">
        <v>0</v>
      </c>
      <c r="BC26" s="295">
        <v>81641764.510000005</v>
      </c>
      <c r="BD26" s="295">
        <v>81641764.510000005</v>
      </c>
      <c r="BE26" s="295">
        <v>81641764.510000005</v>
      </c>
      <c r="BF26" s="295">
        <v>81641764.510000005</v>
      </c>
      <c r="BG26" s="295">
        <f t="shared" ref="BG26:BG38" si="38">660000000/13</f>
        <v>50769230.769230768</v>
      </c>
      <c r="BH26" s="295">
        <f t="shared" ref="BH26:BH38" si="39">536390026.5/13</f>
        <v>41260771.269230768</v>
      </c>
      <c r="BI26" s="295">
        <v>0</v>
      </c>
      <c r="BJ26" s="295">
        <v>0</v>
      </c>
      <c r="BK26" s="300">
        <v>0</v>
      </c>
      <c r="BL26" s="300">
        <v>0</v>
      </c>
      <c r="BM26" s="300">
        <v>0</v>
      </c>
      <c r="BN26" s="300">
        <v>0</v>
      </c>
      <c r="BO26" s="300">
        <v>0</v>
      </c>
      <c r="BP26" s="300">
        <v>0</v>
      </c>
      <c r="BQ26" s="300">
        <v>0</v>
      </c>
      <c r="BR26" s="300">
        <v>0</v>
      </c>
      <c r="BS26" s="295">
        <v>0</v>
      </c>
      <c r="BT26" s="295">
        <v>0</v>
      </c>
      <c r="BU26" s="295">
        <v>0</v>
      </c>
      <c r="BV26" s="295">
        <v>0</v>
      </c>
      <c r="BW26" s="300">
        <v>0</v>
      </c>
      <c r="BX26" s="300">
        <v>0</v>
      </c>
      <c r="BY26" s="300">
        <v>0</v>
      </c>
      <c r="BZ26" s="300">
        <v>0</v>
      </c>
      <c r="CA26" s="300">
        <v>0</v>
      </c>
      <c r="CB26" s="300">
        <v>0</v>
      </c>
      <c r="CC26" s="300">
        <v>0</v>
      </c>
      <c r="CD26" s="300">
        <v>0</v>
      </c>
      <c r="CE26" s="300">
        <v>0</v>
      </c>
      <c r="CF26" s="300">
        <v>0</v>
      </c>
      <c r="CG26" s="300">
        <v>0</v>
      </c>
      <c r="CH26" s="300">
        <v>0</v>
      </c>
      <c r="CI26" s="300">
        <v>0</v>
      </c>
      <c r="CJ26" s="300">
        <v>0</v>
      </c>
      <c r="CK26" s="300">
        <v>0</v>
      </c>
      <c r="CL26" s="300">
        <v>0</v>
      </c>
      <c r="CM26" s="300">
        <v>0</v>
      </c>
      <c r="CN26" s="300">
        <v>0</v>
      </c>
      <c r="CO26" s="300">
        <v>0</v>
      </c>
      <c r="CP26" s="300">
        <v>0</v>
      </c>
      <c r="CQ26" s="300">
        <v>0</v>
      </c>
      <c r="CR26" s="300">
        <v>0</v>
      </c>
      <c r="CS26" s="300">
        <v>0</v>
      </c>
      <c r="CT26" s="300">
        <v>0</v>
      </c>
      <c r="CU26" s="300">
        <v>0</v>
      </c>
      <c r="CV26" s="300">
        <v>0</v>
      </c>
      <c r="CW26" s="300">
        <v>0</v>
      </c>
      <c r="CX26" s="300">
        <v>0</v>
      </c>
      <c r="CY26" s="300">
        <v>0</v>
      </c>
      <c r="CZ26" s="300">
        <v>0</v>
      </c>
      <c r="DA26" s="300">
        <v>0</v>
      </c>
      <c r="DB26" s="300">
        <v>0</v>
      </c>
      <c r="DC26" s="300">
        <v>0</v>
      </c>
      <c r="DD26" s="300">
        <v>0</v>
      </c>
      <c r="DE26" s="300">
        <v>0</v>
      </c>
      <c r="DF26" s="300">
        <v>0</v>
      </c>
      <c r="DG26" s="300">
        <v>0</v>
      </c>
      <c r="DH26" s="300">
        <v>0</v>
      </c>
      <c r="DI26" s="300">
        <v>0</v>
      </c>
      <c r="DJ26" s="300">
        <v>0</v>
      </c>
      <c r="DK26" s="300">
        <v>0</v>
      </c>
      <c r="DL26" s="300">
        <v>0</v>
      </c>
      <c r="DM26" s="300">
        <v>0</v>
      </c>
      <c r="DN26" s="300">
        <v>0</v>
      </c>
      <c r="DO26" s="300">
        <v>0</v>
      </c>
      <c r="DP26" s="300">
        <v>0</v>
      </c>
      <c r="DQ26" s="300">
        <v>0</v>
      </c>
      <c r="DR26" s="300">
        <v>0</v>
      </c>
      <c r="DS26" s="300">
        <v>0</v>
      </c>
      <c r="DT26" s="300">
        <v>0</v>
      </c>
      <c r="DU26" s="300">
        <v>0</v>
      </c>
      <c r="DV26" s="300">
        <v>0</v>
      </c>
      <c r="DW26" s="296">
        <f t="shared" si="1"/>
        <v>245478551.75307691</v>
      </c>
      <c r="DX26" s="296">
        <f t="shared" si="1"/>
        <v>181989193.22692311</v>
      </c>
      <c r="DY26" s="296">
        <f t="shared" si="1"/>
        <v>115677684.34692308</v>
      </c>
      <c r="DZ26" s="296">
        <f t="shared" si="1"/>
        <v>111757081.74076924</v>
      </c>
      <c r="EA26" s="287"/>
    </row>
    <row r="27" spans="1:132" ht="45.75" customHeight="1" x14ac:dyDescent="0.2">
      <c r="A27" s="297" t="s">
        <v>2005</v>
      </c>
      <c r="B27" s="298"/>
      <c r="C27" s="295">
        <f t="shared" si="31"/>
        <v>86923076.923076928</v>
      </c>
      <c r="D27" s="295">
        <f t="shared" si="32"/>
        <v>58240503.601538464</v>
      </c>
      <c r="E27" s="295">
        <f t="shared" si="33"/>
        <v>34035919.836923078</v>
      </c>
      <c r="F27" s="295">
        <f t="shared" si="34"/>
        <v>30115317.230769232</v>
      </c>
      <c r="G27" s="295">
        <v>0</v>
      </c>
      <c r="H27" s="295">
        <v>0</v>
      </c>
      <c r="I27" s="295">
        <v>0</v>
      </c>
      <c r="J27" s="295">
        <v>0</v>
      </c>
      <c r="K27" s="295">
        <v>0</v>
      </c>
      <c r="L27" s="295">
        <v>0</v>
      </c>
      <c r="M27" s="295">
        <v>0</v>
      </c>
      <c r="N27" s="295">
        <v>0</v>
      </c>
      <c r="O27" s="295">
        <v>0</v>
      </c>
      <c r="P27" s="295">
        <v>0</v>
      </c>
      <c r="Q27" s="295">
        <v>0</v>
      </c>
      <c r="R27" s="295">
        <v>0</v>
      </c>
      <c r="S27" s="295">
        <v>0</v>
      </c>
      <c r="T27" s="295">
        <v>0</v>
      </c>
      <c r="U27" s="295">
        <v>0</v>
      </c>
      <c r="V27" s="295">
        <v>0</v>
      </c>
      <c r="W27" s="295">
        <v>0</v>
      </c>
      <c r="X27" s="295">
        <v>0</v>
      </c>
      <c r="Y27" s="295">
        <v>0</v>
      </c>
      <c r="Z27" s="295">
        <v>0</v>
      </c>
      <c r="AA27" s="295">
        <v>0</v>
      </c>
      <c r="AB27" s="295">
        <v>0</v>
      </c>
      <c r="AC27" s="295">
        <v>0</v>
      </c>
      <c r="AD27" s="295">
        <v>0</v>
      </c>
      <c r="AE27" s="295">
        <f t="shared" si="35"/>
        <v>13067556.473846154</v>
      </c>
      <c r="AF27" s="295">
        <f t="shared" si="36"/>
        <v>846153.84615384613</v>
      </c>
      <c r="AG27" s="295">
        <v>0</v>
      </c>
      <c r="AH27" s="295">
        <v>0</v>
      </c>
      <c r="AI27" s="295">
        <v>0</v>
      </c>
      <c r="AJ27" s="295">
        <v>0</v>
      </c>
      <c r="AK27" s="295">
        <v>0</v>
      </c>
      <c r="AL27" s="295">
        <v>0</v>
      </c>
      <c r="AM27" s="300">
        <v>0</v>
      </c>
      <c r="AN27" s="300">
        <v>0</v>
      </c>
      <c r="AO27" s="300">
        <v>0</v>
      </c>
      <c r="AP27" s="300">
        <v>0</v>
      </c>
      <c r="AQ27" s="300">
        <v>0</v>
      </c>
      <c r="AR27" s="300">
        <v>0</v>
      </c>
      <c r="AS27" s="300">
        <v>0</v>
      </c>
      <c r="AT27" s="300">
        <v>0</v>
      </c>
      <c r="AU27" s="300">
        <v>0</v>
      </c>
      <c r="AV27" s="300">
        <v>0</v>
      </c>
      <c r="AW27" s="300">
        <v>0</v>
      </c>
      <c r="AX27" s="300">
        <v>0</v>
      </c>
      <c r="AY27" s="295">
        <f t="shared" si="37"/>
        <v>13076923.076923076</v>
      </c>
      <c r="AZ27" s="295">
        <v>0</v>
      </c>
      <c r="BA27" s="295">
        <v>0</v>
      </c>
      <c r="BB27" s="295">
        <v>0</v>
      </c>
      <c r="BC27" s="300">
        <v>3533912802</v>
      </c>
      <c r="BD27" s="300"/>
      <c r="BE27" s="300"/>
      <c r="BF27" s="300"/>
      <c r="BG27" s="295">
        <f t="shared" si="38"/>
        <v>50769230.769230768</v>
      </c>
      <c r="BH27" s="295">
        <f t="shared" si="39"/>
        <v>41260771.269230768</v>
      </c>
      <c r="BI27" s="295">
        <v>0</v>
      </c>
      <c r="BJ27" s="295">
        <v>0</v>
      </c>
      <c r="BK27" s="300">
        <v>0</v>
      </c>
      <c r="BL27" s="300">
        <v>0</v>
      </c>
      <c r="BM27" s="300">
        <v>0</v>
      </c>
      <c r="BN27" s="300">
        <v>0</v>
      </c>
      <c r="BO27" s="300">
        <v>0</v>
      </c>
      <c r="BP27" s="300">
        <v>0</v>
      </c>
      <c r="BQ27" s="300">
        <v>0</v>
      </c>
      <c r="BR27" s="300">
        <v>0</v>
      </c>
      <c r="BS27" s="295">
        <v>0</v>
      </c>
      <c r="BT27" s="295">
        <v>0</v>
      </c>
      <c r="BU27" s="295">
        <v>0</v>
      </c>
      <c r="BV27" s="295">
        <v>0</v>
      </c>
      <c r="BW27" s="300">
        <v>0</v>
      </c>
      <c r="BX27" s="300">
        <v>0</v>
      </c>
      <c r="BY27" s="300">
        <v>0</v>
      </c>
      <c r="BZ27" s="300">
        <v>0</v>
      </c>
      <c r="CA27" s="300">
        <v>0</v>
      </c>
      <c r="CB27" s="300">
        <v>0</v>
      </c>
      <c r="CC27" s="300">
        <v>0</v>
      </c>
      <c r="CD27" s="300">
        <v>0</v>
      </c>
      <c r="CE27" s="300">
        <v>0</v>
      </c>
      <c r="CF27" s="300">
        <v>0</v>
      </c>
      <c r="CG27" s="300">
        <v>0</v>
      </c>
      <c r="CH27" s="300">
        <v>0</v>
      </c>
      <c r="CI27" s="300">
        <v>0</v>
      </c>
      <c r="CJ27" s="300">
        <v>0</v>
      </c>
      <c r="CK27" s="300">
        <v>0</v>
      </c>
      <c r="CL27" s="300">
        <v>0</v>
      </c>
      <c r="CM27" s="300">
        <v>0</v>
      </c>
      <c r="CN27" s="300">
        <v>0</v>
      </c>
      <c r="CO27" s="300">
        <v>0</v>
      </c>
      <c r="CP27" s="300">
        <v>0</v>
      </c>
      <c r="CQ27" s="300">
        <v>0</v>
      </c>
      <c r="CR27" s="300">
        <v>0</v>
      </c>
      <c r="CS27" s="300">
        <v>0</v>
      </c>
      <c r="CT27" s="300">
        <v>0</v>
      </c>
      <c r="CU27" s="300">
        <v>0</v>
      </c>
      <c r="CV27" s="300">
        <v>0</v>
      </c>
      <c r="CW27" s="300">
        <v>0</v>
      </c>
      <c r="CX27" s="300">
        <v>0</v>
      </c>
      <c r="CY27" s="300">
        <v>0</v>
      </c>
      <c r="CZ27" s="300">
        <v>0</v>
      </c>
      <c r="DA27" s="300">
        <v>0</v>
      </c>
      <c r="DB27" s="300">
        <v>0</v>
      </c>
      <c r="DC27" s="300">
        <v>0</v>
      </c>
      <c r="DD27" s="300">
        <v>0</v>
      </c>
      <c r="DE27" s="300">
        <v>0</v>
      </c>
      <c r="DF27" s="300">
        <v>0</v>
      </c>
      <c r="DG27" s="300">
        <v>0</v>
      </c>
      <c r="DH27" s="300">
        <v>0</v>
      </c>
      <c r="DI27" s="300">
        <v>0</v>
      </c>
      <c r="DJ27" s="300">
        <v>0</v>
      </c>
      <c r="DK27" s="300">
        <v>0</v>
      </c>
      <c r="DL27" s="300">
        <v>0</v>
      </c>
      <c r="DM27" s="300">
        <v>0</v>
      </c>
      <c r="DN27" s="300">
        <v>0</v>
      </c>
      <c r="DO27" s="300">
        <v>0</v>
      </c>
      <c r="DP27" s="300">
        <v>0</v>
      </c>
      <c r="DQ27" s="300">
        <v>0</v>
      </c>
      <c r="DR27" s="300">
        <v>0</v>
      </c>
      <c r="DS27" s="300">
        <v>0</v>
      </c>
      <c r="DT27" s="300">
        <v>0</v>
      </c>
      <c r="DU27" s="300">
        <v>0</v>
      </c>
      <c r="DV27" s="300">
        <v>0</v>
      </c>
      <c r="DW27" s="296">
        <f t="shared" si="1"/>
        <v>3697749589.2430768</v>
      </c>
      <c r="DX27" s="296">
        <f t="shared" si="1"/>
        <v>100347428.71692309</v>
      </c>
      <c r="DY27" s="296">
        <f t="shared" si="1"/>
        <v>34035919.836923078</v>
      </c>
      <c r="DZ27" s="296">
        <f t="shared" si="1"/>
        <v>30115317.230769232</v>
      </c>
      <c r="EA27" s="287"/>
    </row>
    <row r="28" spans="1:132" ht="45.75" customHeight="1" x14ac:dyDescent="0.2">
      <c r="A28" s="293" t="s">
        <v>2006</v>
      </c>
      <c r="B28" s="298"/>
      <c r="C28" s="295">
        <f t="shared" si="31"/>
        <v>86923076.923076928</v>
      </c>
      <c r="D28" s="295">
        <f t="shared" si="32"/>
        <v>58240503.601538464</v>
      </c>
      <c r="E28" s="295">
        <f t="shared" si="33"/>
        <v>34035919.836923078</v>
      </c>
      <c r="F28" s="295">
        <f t="shared" si="34"/>
        <v>30115317.230769232</v>
      </c>
      <c r="G28" s="295">
        <v>0</v>
      </c>
      <c r="H28" s="295">
        <v>0</v>
      </c>
      <c r="I28" s="295">
        <v>0</v>
      </c>
      <c r="J28" s="295">
        <v>0</v>
      </c>
      <c r="K28" s="295">
        <v>0</v>
      </c>
      <c r="L28" s="295">
        <v>0</v>
      </c>
      <c r="M28" s="295">
        <v>0</v>
      </c>
      <c r="N28" s="295">
        <v>0</v>
      </c>
      <c r="O28" s="295">
        <v>0</v>
      </c>
      <c r="P28" s="295">
        <v>0</v>
      </c>
      <c r="Q28" s="295">
        <v>0</v>
      </c>
      <c r="R28" s="295">
        <v>0</v>
      </c>
      <c r="S28" s="295">
        <v>0</v>
      </c>
      <c r="T28" s="295">
        <v>0</v>
      </c>
      <c r="U28" s="295">
        <v>0</v>
      </c>
      <c r="V28" s="295">
        <v>0</v>
      </c>
      <c r="W28" s="295">
        <v>0</v>
      </c>
      <c r="X28" s="295">
        <v>0</v>
      </c>
      <c r="Y28" s="295">
        <v>0</v>
      </c>
      <c r="Z28" s="295">
        <v>0</v>
      </c>
      <c r="AA28" s="295">
        <v>0</v>
      </c>
      <c r="AB28" s="295">
        <v>0</v>
      </c>
      <c r="AC28" s="295">
        <v>0</v>
      </c>
      <c r="AD28" s="295">
        <v>0</v>
      </c>
      <c r="AE28" s="295">
        <f t="shared" si="35"/>
        <v>13067556.473846154</v>
      </c>
      <c r="AF28" s="295">
        <f t="shared" si="36"/>
        <v>846153.84615384613</v>
      </c>
      <c r="AG28" s="295">
        <v>0</v>
      </c>
      <c r="AH28" s="295">
        <v>0</v>
      </c>
      <c r="AI28" s="295">
        <v>0</v>
      </c>
      <c r="AJ28" s="295">
        <v>0</v>
      </c>
      <c r="AK28" s="295">
        <v>0</v>
      </c>
      <c r="AL28" s="295">
        <v>0</v>
      </c>
      <c r="AM28" s="295">
        <v>0</v>
      </c>
      <c r="AN28" s="295">
        <v>0</v>
      </c>
      <c r="AO28" s="295">
        <v>0</v>
      </c>
      <c r="AP28" s="295">
        <v>0</v>
      </c>
      <c r="AQ28" s="295">
        <v>0</v>
      </c>
      <c r="AR28" s="295">
        <v>0</v>
      </c>
      <c r="AS28" s="295">
        <v>0</v>
      </c>
      <c r="AT28" s="295">
        <v>0</v>
      </c>
      <c r="AU28" s="295">
        <v>0</v>
      </c>
      <c r="AV28" s="295">
        <v>0</v>
      </c>
      <c r="AW28" s="295">
        <v>0</v>
      </c>
      <c r="AX28" s="295">
        <v>0</v>
      </c>
      <c r="AY28" s="295">
        <f t="shared" si="37"/>
        <v>13076923.076923076</v>
      </c>
      <c r="AZ28" s="295">
        <v>0</v>
      </c>
      <c r="BA28" s="295">
        <v>0</v>
      </c>
      <c r="BB28" s="295">
        <v>0</v>
      </c>
      <c r="BC28" s="295"/>
      <c r="BD28" s="295"/>
      <c r="BE28" s="295"/>
      <c r="BF28" s="295"/>
      <c r="BG28" s="295">
        <f t="shared" si="38"/>
        <v>50769230.769230768</v>
      </c>
      <c r="BH28" s="295">
        <f t="shared" si="39"/>
        <v>41260771.269230768</v>
      </c>
      <c r="BI28" s="295">
        <v>0</v>
      </c>
      <c r="BJ28" s="295">
        <v>0</v>
      </c>
      <c r="BK28" s="295">
        <v>0</v>
      </c>
      <c r="BL28" s="295">
        <v>0</v>
      </c>
      <c r="BM28" s="295">
        <v>0</v>
      </c>
      <c r="BN28" s="295">
        <v>0</v>
      </c>
      <c r="BO28" s="295">
        <v>0</v>
      </c>
      <c r="BP28" s="295">
        <v>0</v>
      </c>
      <c r="BQ28" s="295">
        <v>0</v>
      </c>
      <c r="BR28" s="295">
        <v>0</v>
      </c>
      <c r="BS28" s="295">
        <v>0</v>
      </c>
      <c r="BT28" s="295">
        <v>0</v>
      </c>
      <c r="BU28" s="295">
        <v>0</v>
      </c>
      <c r="BV28" s="295">
        <v>0</v>
      </c>
      <c r="BW28" s="295">
        <v>0</v>
      </c>
      <c r="BX28" s="295">
        <v>0</v>
      </c>
      <c r="BY28" s="295">
        <v>0</v>
      </c>
      <c r="BZ28" s="295">
        <v>0</v>
      </c>
      <c r="CA28" s="295">
        <v>0</v>
      </c>
      <c r="CB28" s="295">
        <v>0</v>
      </c>
      <c r="CC28" s="295">
        <v>0</v>
      </c>
      <c r="CD28" s="295">
        <v>0</v>
      </c>
      <c r="CE28" s="295">
        <v>0</v>
      </c>
      <c r="CF28" s="295">
        <v>0</v>
      </c>
      <c r="CG28" s="295">
        <v>0</v>
      </c>
      <c r="CH28" s="295">
        <v>0</v>
      </c>
      <c r="CI28" s="300">
        <v>0</v>
      </c>
      <c r="CJ28" s="300">
        <v>0</v>
      </c>
      <c r="CK28" s="300">
        <v>0</v>
      </c>
      <c r="CL28" s="300">
        <v>0</v>
      </c>
      <c r="CM28" s="300">
        <v>0</v>
      </c>
      <c r="CN28" s="300">
        <v>0</v>
      </c>
      <c r="CO28" s="300">
        <v>0</v>
      </c>
      <c r="CP28" s="300">
        <v>0</v>
      </c>
      <c r="CQ28" s="300">
        <v>0</v>
      </c>
      <c r="CR28" s="300">
        <v>0</v>
      </c>
      <c r="CS28" s="300">
        <v>0</v>
      </c>
      <c r="CT28" s="300">
        <v>0</v>
      </c>
      <c r="CU28" s="300">
        <v>0</v>
      </c>
      <c r="CV28" s="300">
        <v>0</v>
      </c>
      <c r="CW28" s="300">
        <v>0</v>
      </c>
      <c r="CX28" s="300">
        <v>0</v>
      </c>
      <c r="CY28" s="300">
        <v>0</v>
      </c>
      <c r="CZ28" s="300">
        <v>0</v>
      </c>
      <c r="DA28" s="300">
        <v>0</v>
      </c>
      <c r="DB28" s="300">
        <v>0</v>
      </c>
      <c r="DC28" s="300">
        <v>0</v>
      </c>
      <c r="DD28" s="300">
        <v>0</v>
      </c>
      <c r="DE28" s="300">
        <v>0</v>
      </c>
      <c r="DF28" s="300">
        <v>0</v>
      </c>
      <c r="DG28" s="300">
        <v>0</v>
      </c>
      <c r="DH28" s="300">
        <v>0</v>
      </c>
      <c r="DI28" s="300">
        <v>0</v>
      </c>
      <c r="DJ28" s="300">
        <v>0</v>
      </c>
      <c r="DK28" s="300">
        <v>0</v>
      </c>
      <c r="DL28" s="300">
        <v>0</v>
      </c>
      <c r="DM28" s="300">
        <v>0</v>
      </c>
      <c r="DN28" s="300">
        <v>0</v>
      </c>
      <c r="DO28" s="300">
        <v>0</v>
      </c>
      <c r="DP28" s="300">
        <v>0</v>
      </c>
      <c r="DQ28" s="300">
        <v>0</v>
      </c>
      <c r="DR28" s="300">
        <v>0</v>
      </c>
      <c r="DS28" s="295">
        <v>0</v>
      </c>
      <c r="DT28" s="295">
        <v>0</v>
      </c>
      <c r="DU28" s="295">
        <v>0</v>
      </c>
      <c r="DV28" s="295">
        <v>0</v>
      </c>
      <c r="DW28" s="296">
        <f t="shared" si="1"/>
        <v>163836787.24307692</v>
      </c>
      <c r="DX28" s="296">
        <f t="shared" si="1"/>
        <v>100347428.71692309</v>
      </c>
      <c r="DY28" s="296">
        <f t="shared" si="1"/>
        <v>34035919.836923078</v>
      </c>
      <c r="DZ28" s="296">
        <f t="shared" si="1"/>
        <v>30115317.230769232</v>
      </c>
      <c r="EA28" s="287"/>
    </row>
    <row r="29" spans="1:132" ht="45.75" customHeight="1" x14ac:dyDescent="0.2">
      <c r="A29" s="293" t="s">
        <v>2007</v>
      </c>
      <c r="B29" s="298"/>
      <c r="C29" s="295">
        <f t="shared" si="31"/>
        <v>86923076.923076928</v>
      </c>
      <c r="D29" s="295">
        <f t="shared" si="32"/>
        <v>58240503.601538464</v>
      </c>
      <c r="E29" s="295">
        <f t="shared" si="33"/>
        <v>34035919.836923078</v>
      </c>
      <c r="F29" s="295">
        <f t="shared" si="34"/>
        <v>30115317.230769232</v>
      </c>
      <c r="G29" s="295">
        <v>0</v>
      </c>
      <c r="H29" s="295">
        <v>0</v>
      </c>
      <c r="I29" s="295">
        <v>0</v>
      </c>
      <c r="J29" s="295">
        <v>0</v>
      </c>
      <c r="K29" s="295">
        <v>0</v>
      </c>
      <c r="L29" s="295">
        <v>0</v>
      </c>
      <c r="M29" s="295">
        <v>0</v>
      </c>
      <c r="N29" s="295">
        <v>0</v>
      </c>
      <c r="O29" s="295">
        <v>0</v>
      </c>
      <c r="P29" s="295">
        <v>0</v>
      </c>
      <c r="Q29" s="295">
        <v>0</v>
      </c>
      <c r="R29" s="295">
        <v>0</v>
      </c>
      <c r="S29" s="295">
        <v>0</v>
      </c>
      <c r="T29" s="295">
        <v>0</v>
      </c>
      <c r="U29" s="295">
        <v>0</v>
      </c>
      <c r="V29" s="295">
        <v>0</v>
      </c>
      <c r="W29" s="295">
        <v>0</v>
      </c>
      <c r="X29" s="295">
        <v>0</v>
      </c>
      <c r="Y29" s="295">
        <v>0</v>
      </c>
      <c r="Z29" s="295">
        <v>0</v>
      </c>
      <c r="AA29" s="295">
        <v>0</v>
      </c>
      <c r="AB29" s="295">
        <v>0</v>
      </c>
      <c r="AC29" s="295">
        <v>0</v>
      </c>
      <c r="AD29" s="295">
        <v>0</v>
      </c>
      <c r="AE29" s="295">
        <f t="shared" si="35"/>
        <v>13067556.473846154</v>
      </c>
      <c r="AF29" s="295">
        <f t="shared" si="36"/>
        <v>846153.84615384613</v>
      </c>
      <c r="AG29" s="295">
        <v>0</v>
      </c>
      <c r="AH29" s="295">
        <v>0</v>
      </c>
      <c r="AI29" s="295">
        <v>0</v>
      </c>
      <c r="AJ29" s="295">
        <v>0</v>
      </c>
      <c r="AK29" s="295">
        <v>0</v>
      </c>
      <c r="AL29" s="295">
        <v>0</v>
      </c>
      <c r="AM29" s="295">
        <v>0</v>
      </c>
      <c r="AN29" s="295">
        <v>0</v>
      </c>
      <c r="AO29" s="295">
        <v>0</v>
      </c>
      <c r="AP29" s="295">
        <v>0</v>
      </c>
      <c r="AQ29" s="295">
        <v>0</v>
      </c>
      <c r="AR29" s="295">
        <v>0</v>
      </c>
      <c r="AS29" s="295">
        <v>0</v>
      </c>
      <c r="AT29" s="295">
        <v>0</v>
      </c>
      <c r="AU29" s="295">
        <v>0</v>
      </c>
      <c r="AV29" s="295">
        <v>0</v>
      </c>
      <c r="AW29" s="295">
        <v>0</v>
      </c>
      <c r="AX29" s="295">
        <v>0</v>
      </c>
      <c r="AY29" s="295">
        <f t="shared" si="37"/>
        <v>13076923.076923076</v>
      </c>
      <c r="AZ29" s="295">
        <v>0</v>
      </c>
      <c r="BA29" s="295">
        <v>0</v>
      </c>
      <c r="BB29" s="295">
        <v>0</v>
      </c>
      <c r="BC29" s="295"/>
      <c r="BD29" s="295"/>
      <c r="BE29" s="295"/>
      <c r="BF29" s="295"/>
      <c r="BG29" s="295">
        <f t="shared" si="38"/>
        <v>50769230.769230768</v>
      </c>
      <c r="BH29" s="295">
        <f t="shared" si="39"/>
        <v>41260771.269230768</v>
      </c>
      <c r="BI29" s="295">
        <v>0</v>
      </c>
      <c r="BJ29" s="295">
        <v>0</v>
      </c>
      <c r="BK29" s="295">
        <v>0</v>
      </c>
      <c r="BL29" s="295">
        <v>0</v>
      </c>
      <c r="BM29" s="295">
        <v>0</v>
      </c>
      <c r="BN29" s="295">
        <v>0</v>
      </c>
      <c r="BO29" s="295">
        <v>0</v>
      </c>
      <c r="BP29" s="295">
        <v>0</v>
      </c>
      <c r="BQ29" s="295">
        <v>0</v>
      </c>
      <c r="BR29" s="295">
        <v>0</v>
      </c>
      <c r="BS29" s="295">
        <v>0</v>
      </c>
      <c r="BT29" s="295">
        <v>0</v>
      </c>
      <c r="BU29" s="295">
        <v>0</v>
      </c>
      <c r="BV29" s="295">
        <v>0</v>
      </c>
      <c r="BW29" s="295">
        <v>0</v>
      </c>
      <c r="BX29" s="295">
        <v>0</v>
      </c>
      <c r="BY29" s="295">
        <v>0</v>
      </c>
      <c r="BZ29" s="295">
        <v>0</v>
      </c>
      <c r="CA29" s="295">
        <v>0</v>
      </c>
      <c r="CB29" s="295">
        <v>0</v>
      </c>
      <c r="CC29" s="295">
        <v>0</v>
      </c>
      <c r="CD29" s="295">
        <v>0</v>
      </c>
      <c r="CE29" s="295">
        <v>0</v>
      </c>
      <c r="CF29" s="295">
        <v>0</v>
      </c>
      <c r="CG29" s="295">
        <v>0</v>
      </c>
      <c r="CH29" s="295">
        <v>0</v>
      </c>
      <c r="CI29" s="300">
        <v>0</v>
      </c>
      <c r="CJ29" s="300">
        <v>0</v>
      </c>
      <c r="CK29" s="300">
        <v>0</v>
      </c>
      <c r="CL29" s="300">
        <v>0</v>
      </c>
      <c r="CM29" s="300">
        <v>0</v>
      </c>
      <c r="CN29" s="300">
        <v>0</v>
      </c>
      <c r="CO29" s="300">
        <v>0</v>
      </c>
      <c r="CP29" s="300">
        <v>0</v>
      </c>
      <c r="CQ29" s="300">
        <v>0</v>
      </c>
      <c r="CR29" s="300">
        <v>0</v>
      </c>
      <c r="CS29" s="300">
        <v>0</v>
      </c>
      <c r="CT29" s="300">
        <v>0</v>
      </c>
      <c r="CU29" s="300">
        <v>0</v>
      </c>
      <c r="CV29" s="300">
        <v>0</v>
      </c>
      <c r="CW29" s="300">
        <v>0</v>
      </c>
      <c r="CX29" s="300">
        <v>0</v>
      </c>
      <c r="CY29" s="300">
        <v>0</v>
      </c>
      <c r="CZ29" s="300">
        <v>0</v>
      </c>
      <c r="DA29" s="300">
        <v>0</v>
      </c>
      <c r="DB29" s="300">
        <v>0</v>
      </c>
      <c r="DC29" s="300">
        <v>0</v>
      </c>
      <c r="DD29" s="300">
        <v>0</v>
      </c>
      <c r="DE29" s="300">
        <v>0</v>
      </c>
      <c r="DF29" s="300">
        <v>0</v>
      </c>
      <c r="DG29" s="300">
        <v>0</v>
      </c>
      <c r="DH29" s="300">
        <v>0</v>
      </c>
      <c r="DI29" s="300">
        <v>0</v>
      </c>
      <c r="DJ29" s="300">
        <v>0</v>
      </c>
      <c r="DK29" s="300">
        <v>0</v>
      </c>
      <c r="DL29" s="300">
        <v>0</v>
      </c>
      <c r="DM29" s="300">
        <v>0</v>
      </c>
      <c r="DN29" s="300">
        <v>0</v>
      </c>
      <c r="DO29" s="300">
        <v>0</v>
      </c>
      <c r="DP29" s="300">
        <v>0</v>
      </c>
      <c r="DQ29" s="300">
        <v>0</v>
      </c>
      <c r="DR29" s="300">
        <v>0</v>
      </c>
      <c r="DS29" s="295">
        <v>0</v>
      </c>
      <c r="DT29" s="295">
        <v>0</v>
      </c>
      <c r="DU29" s="295">
        <v>0</v>
      </c>
      <c r="DV29" s="295">
        <v>0</v>
      </c>
      <c r="DW29" s="296">
        <f t="shared" si="1"/>
        <v>163836787.24307692</v>
      </c>
      <c r="DX29" s="296">
        <f t="shared" si="1"/>
        <v>100347428.71692309</v>
      </c>
      <c r="DY29" s="296">
        <f t="shared" si="1"/>
        <v>34035919.836923078</v>
      </c>
      <c r="DZ29" s="296">
        <f t="shared" si="1"/>
        <v>30115317.230769232</v>
      </c>
      <c r="EA29" s="287"/>
    </row>
    <row r="30" spans="1:132" ht="45.75" customHeight="1" x14ac:dyDescent="0.2">
      <c r="A30" s="293" t="s">
        <v>2008</v>
      </c>
      <c r="B30" s="298"/>
      <c r="C30" s="295">
        <f t="shared" si="31"/>
        <v>86923076.923076928</v>
      </c>
      <c r="D30" s="295">
        <f t="shared" si="32"/>
        <v>58240503.601538464</v>
      </c>
      <c r="E30" s="295">
        <f t="shared" si="33"/>
        <v>34035919.836923078</v>
      </c>
      <c r="F30" s="295">
        <f t="shared" si="34"/>
        <v>30115317.230769232</v>
      </c>
      <c r="G30" s="295">
        <v>0</v>
      </c>
      <c r="H30" s="295">
        <v>0</v>
      </c>
      <c r="I30" s="295">
        <v>0</v>
      </c>
      <c r="J30" s="295">
        <v>0</v>
      </c>
      <c r="K30" s="295">
        <v>0</v>
      </c>
      <c r="L30" s="295">
        <v>0</v>
      </c>
      <c r="M30" s="295">
        <v>0</v>
      </c>
      <c r="N30" s="295">
        <v>0</v>
      </c>
      <c r="O30" s="295">
        <v>0</v>
      </c>
      <c r="P30" s="295">
        <v>0</v>
      </c>
      <c r="Q30" s="295">
        <v>0</v>
      </c>
      <c r="R30" s="295">
        <v>0</v>
      </c>
      <c r="S30" s="295">
        <v>0</v>
      </c>
      <c r="T30" s="295">
        <v>0</v>
      </c>
      <c r="U30" s="295">
        <v>0</v>
      </c>
      <c r="V30" s="295">
        <v>0</v>
      </c>
      <c r="W30" s="295">
        <v>0</v>
      </c>
      <c r="X30" s="295">
        <v>0</v>
      </c>
      <c r="Y30" s="295">
        <v>0</v>
      </c>
      <c r="Z30" s="295">
        <v>0</v>
      </c>
      <c r="AA30" s="295">
        <v>0</v>
      </c>
      <c r="AB30" s="295">
        <v>0</v>
      </c>
      <c r="AC30" s="295">
        <v>0</v>
      </c>
      <c r="AD30" s="295">
        <v>0</v>
      </c>
      <c r="AE30" s="295">
        <f t="shared" si="35"/>
        <v>13067556.473846154</v>
      </c>
      <c r="AF30" s="295">
        <f t="shared" si="36"/>
        <v>846153.84615384613</v>
      </c>
      <c r="AG30" s="295">
        <v>0</v>
      </c>
      <c r="AH30" s="295">
        <v>0</v>
      </c>
      <c r="AI30" s="295">
        <v>0</v>
      </c>
      <c r="AJ30" s="295">
        <v>0</v>
      </c>
      <c r="AK30" s="295">
        <v>0</v>
      </c>
      <c r="AL30" s="295">
        <v>0</v>
      </c>
      <c r="AM30" s="295">
        <v>0</v>
      </c>
      <c r="AN30" s="295">
        <v>0</v>
      </c>
      <c r="AO30" s="295">
        <v>0</v>
      </c>
      <c r="AP30" s="295">
        <v>0</v>
      </c>
      <c r="AQ30" s="295">
        <v>0</v>
      </c>
      <c r="AR30" s="295">
        <v>0</v>
      </c>
      <c r="AS30" s="295">
        <v>0</v>
      </c>
      <c r="AT30" s="295">
        <v>0</v>
      </c>
      <c r="AU30" s="295">
        <v>0</v>
      </c>
      <c r="AV30" s="295">
        <v>0</v>
      </c>
      <c r="AW30" s="295">
        <v>0</v>
      </c>
      <c r="AX30" s="295">
        <v>0</v>
      </c>
      <c r="AY30" s="295">
        <f t="shared" si="37"/>
        <v>13076923.076923076</v>
      </c>
      <c r="AZ30" s="295">
        <v>0</v>
      </c>
      <c r="BA30" s="295">
        <v>0</v>
      </c>
      <c r="BB30" s="295">
        <v>0</v>
      </c>
      <c r="BC30" s="295"/>
      <c r="BD30" s="295"/>
      <c r="BE30" s="295"/>
      <c r="BF30" s="295"/>
      <c r="BG30" s="295">
        <f t="shared" si="38"/>
        <v>50769230.769230768</v>
      </c>
      <c r="BH30" s="295">
        <f t="shared" si="39"/>
        <v>41260771.269230768</v>
      </c>
      <c r="BI30" s="295">
        <v>0</v>
      </c>
      <c r="BJ30" s="295">
        <v>0</v>
      </c>
      <c r="BK30" s="295">
        <v>0</v>
      </c>
      <c r="BL30" s="295">
        <v>0</v>
      </c>
      <c r="BM30" s="295">
        <v>0</v>
      </c>
      <c r="BN30" s="295">
        <v>0</v>
      </c>
      <c r="BO30" s="295">
        <v>0</v>
      </c>
      <c r="BP30" s="295">
        <v>0</v>
      </c>
      <c r="BQ30" s="295">
        <v>0</v>
      </c>
      <c r="BR30" s="295">
        <v>0</v>
      </c>
      <c r="BS30" s="295">
        <v>0</v>
      </c>
      <c r="BT30" s="295">
        <v>0</v>
      </c>
      <c r="BU30" s="295">
        <v>0</v>
      </c>
      <c r="BV30" s="295">
        <v>0</v>
      </c>
      <c r="BW30" s="295">
        <v>0</v>
      </c>
      <c r="BX30" s="295">
        <v>0</v>
      </c>
      <c r="BY30" s="295">
        <v>0</v>
      </c>
      <c r="BZ30" s="295">
        <v>0</v>
      </c>
      <c r="CA30" s="295">
        <v>0</v>
      </c>
      <c r="CB30" s="295">
        <v>0</v>
      </c>
      <c r="CC30" s="295">
        <v>0</v>
      </c>
      <c r="CD30" s="295">
        <v>0</v>
      </c>
      <c r="CE30" s="295">
        <v>0</v>
      </c>
      <c r="CF30" s="295">
        <v>0</v>
      </c>
      <c r="CG30" s="295">
        <v>0</v>
      </c>
      <c r="CH30" s="295">
        <v>0</v>
      </c>
      <c r="CI30" s="300">
        <v>0</v>
      </c>
      <c r="CJ30" s="300">
        <v>0</v>
      </c>
      <c r="CK30" s="300">
        <v>0</v>
      </c>
      <c r="CL30" s="300">
        <v>0</v>
      </c>
      <c r="CM30" s="300">
        <v>0</v>
      </c>
      <c r="CN30" s="300">
        <v>0</v>
      </c>
      <c r="CO30" s="300">
        <v>0</v>
      </c>
      <c r="CP30" s="300">
        <v>0</v>
      </c>
      <c r="CQ30" s="300">
        <v>0</v>
      </c>
      <c r="CR30" s="300">
        <v>0</v>
      </c>
      <c r="CS30" s="300">
        <v>0</v>
      </c>
      <c r="CT30" s="300">
        <v>0</v>
      </c>
      <c r="CU30" s="300">
        <v>0</v>
      </c>
      <c r="CV30" s="300">
        <v>0</v>
      </c>
      <c r="CW30" s="300">
        <v>0</v>
      </c>
      <c r="CX30" s="300">
        <v>0</v>
      </c>
      <c r="CY30" s="300">
        <v>0</v>
      </c>
      <c r="CZ30" s="300">
        <v>0</v>
      </c>
      <c r="DA30" s="300">
        <v>0</v>
      </c>
      <c r="DB30" s="300">
        <v>0</v>
      </c>
      <c r="DC30" s="300">
        <v>0</v>
      </c>
      <c r="DD30" s="300">
        <v>0</v>
      </c>
      <c r="DE30" s="300">
        <v>0</v>
      </c>
      <c r="DF30" s="300">
        <v>0</v>
      </c>
      <c r="DG30" s="300">
        <v>0</v>
      </c>
      <c r="DH30" s="300">
        <v>0</v>
      </c>
      <c r="DI30" s="300">
        <v>0</v>
      </c>
      <c r="DJ30" s="300">
        <v>0</v>
      </c>
      <c r="DK30" s="300">
        <v>0</v>
      </c>
      <c r="DL30" s="300">
        <v>0</v>
      </c>
      <c r="DM30" s="300">
        <v>0</v>
      </c>
      <c r="DN30" s="300">
        <v>0</v>
      </c>
      <c r="DO30" s="300">
        <v>0</v>
      </c>
      <c r="DP30" s="300">
        <v>0</v>
      </c>
      <c r="DQ30" s="300">
        <v>0</v>
      </c>
      <c r="DR30" s="300">
        <v>0</v>
      </c>
      <c r="DS30" s="295">
        <v>0</v>
      </c>
      <c r="DT30" s="295">
        <v>0</v>
      </c>
      <c r="DU30" s="295">
        <v>0</v>
      </c>
      <c r="DV30" s="295">
        <v>0</v>
      </c>
      <c r="DW30" s="296">
        <f t="shared" si="1"/>
        <v>163836787.24307692</v>
      </c>
      <c r="DX30" s="296">
        <f t="shared" si="1"/>
        <v>100347428.71692309</v>
      </c>
      <c r="DY30" s="296">
        <f t="shared" si="1"/>
        <v>34035919.836923078</v>
      </c>
      <c r="DZ30" s="296">
        <f t="shared" si="1"/>
        <v>30115317.230769232</v>
      </c>
      <c r="EA30" s="287"/>
    </row>
    <row r="31" spans="1:132" ht="45.75" customHeight="1" x14ac:dyDescent="0.2">
      <c r="A31" s="297" t="s">
        <v>2009</v>
      </c>
      <c r="B31" s="298"/>
      <c r="C31" s="295">
        <f t="shared" si="31"/>
        <v>86923076.923076928</v>
      </c>
      <c r="D31" s="295">
        <f t="shared" si="32"/>
        <v>58240503.601538464</v>
      </c>
      <c r="E31" s="295">
        <f t="shared" si="33"/>
        <v>34035919.836923078</v>
      </c>
      <c r="F31" s="295">
        <f t="shared" si="34"/>
        <v>30115317.230769232</v>
      </c>
      <c r="G31" s="295">
        <v>0</v>
      </c>
      <c r="H31" s="295">
        <v>0</v>
      </c>
      <c r="I31" s="295">
        <v>0</v>
      </c>
      <c r="J31" s="295">
        <v>0</v>
      </c>
      <c r="K31" s="295">
        <v>0</v>
      </c>
      <c r="L31" s="295">
        <v>0</v>
      </c>
      <c r="M31" s="295">
        <v>0</v>
      </c>
      <c r="N31" s="295">
        <v>0</v>
      </c>
      <c r="O31" s="295">
        <v>0</v>
      </c>
      <c r="P31" s="295">
        <v>0</v>
      </c>
      <c r="Q31" s="295">
        <v>0</v>
      </c>
      <c r="R31" s="295">
        <v>0</v>
      </c>
      <c r="S31" s="295">
        <v>0</v>
      </c>
      <c r="T31" s="295">
        <v>0</v>
      </c>
      <c r="U31" s="295">
        <v>0</v>
      </c>
      <c r="V31" s="295">
        <v>0</v>
      </c>
      <c r="W31" s="295">
        <v>0</v>
      </c>
      <c r="X31" s="295">
        <v>0</v>
      </c>
      <c r="Y31" s="295">
        <v>0</v>
      </c>
      <c r="Z31" s="295">
        <v>0</v>
      </c>
      <c r="AA31" s="295">
        <v>0</v>
      </c>
      <c r="AB31" s="295">
        <v>0</v>
      </c>
      <c r="AC31" s="295">
        <v>0</v>
      </c>
      <c r="AD31" s="295">
        <v>0</v>
      </c>
      <c r="AE31" s="295">
        <f t="shared" si="35"/>
        <v>13067556.473846154</v>
      </c>
      <c r="AF31" s="295">
        <f t="shared" si="36"/>
        <v>846153.84615384613</v>
      </c>
      <c r="AG31" s="295">
        <v>0</v>
      </c>
      <c r="AH31" s="295">
        <v>0</v>
      </c>
      <c r="AI31" s="295">
        <v>0</v>
      </c>
      <c r="AJ31" s="295">
        <v>0</v>
      </c>
      <c r="AK31" s="295">
        <v>0</v>
      </c>
      <c r="AL31" s="295">
        <v>0</v>
      </c>
      <c r="AM31" s="300">
        <v>0</v>
      </c>
      <c r="AN31" s="300">
        <v>0</v>
      </c>
      <c r="AO31" s="300">
        <v>0</v>
      </c>
      <c r="AP31" s="300">
        <v>0</v>
      </c>
      <c r="AQ31" s="300">
        <v>0</v>
      </c>
      <c r="AR31" s="300">
        <v>0</v>
      </c>
      <c r="AS31" s="300">
        <v>0</v>
      </c>
      <c r="AT31" s="300">
        <v>0</v>
      </c>
      <c r="AU31" s="300">
        <v>0</v>
      </c>
      <c r="AV31" s="300">
        <v>0</v>
      </c>
      <c r="AW31" s="300">
        <v>0</v>
      </c>
      <c r="AX31" s="300">
        <v>0</v>
      </c>
      <c r="AY31" s="295">
        <f t="shared" si="37"/>
        <v>13076923.076923076</v>
      </c>
      <c r="AZ31" s="295">
        <v>0</v>
      </c>
      <c r="BA31" s="295">
        <v>0</v>
      </c>
      <c r="BB31" s="295">
        <v>0</v>
      </c>
      <c r="BC31" s="300"/>
      <c r="BD31" s="300"/>
      <c r="BE31" s="300"/>
      <c r="BF31" s="300"/>
      <c r="BG31" s="295">
        <f t="shared" si="38"/>
        <v>50769230.769230768</v>
      </c>
      <c r="BH31" s="295">
        <f t="shared" si="39"/>
        <v>41260771.269230768</v>
      </c>
      <c r="BI31" s="295">
        <v>0</v>
      </c>
      <c r="BJ31" s="295">
        <v>0</v>
      </c>
      <c r="BK31" s="300">
        <v>0</v>
      </c>
      <c r="BL31" s="300">
        <v>0</v>
      </c>
      <c r="BM31" s="300">
        <v>0</v>
      </c>
      <c r="BN31" s="300">
        <v>0</v>
      </c>
      <c r="BO31" s="300">
        <v>0</v>
      </c>
      <c r="BP31" s="300">
        <v>0</v>
      </c>
      <c r="BQ31" s="300">
        <v>0</v>
      </c>
      <c r="BR31" s="300">
        <v>0</v>
      </c>
      <c r="BS31" s="295">
        <v>0</v>
      </c>
      <c r="BT31" s="295">
        <v>0</v>
      </c>
      <c r="BU31" s="295">
        <v>0</v>
      </c>
      <c r="BV31" s="295">
        <v>0</v>
      </c>
      <c r="BW31" s="300">
        <v>0</v>
      </c>
      <c r="BX31" s="300">
        <v>0</v>
      </c>
      <c r="BY31" s="300">
        <v>0</v>
      </c>
      <c r="BZ31" s="300">
        <v>0</v>
      </c>
      <c r="CA31" s="300">
        <v>0</v>
      </c>
      <c r="CB31" s="300">
        <v>0</v>
      </c>
      <c r="CC31" s="300">
        <v>0</v>
      </c>
      <c r="CD31" s="300">
        <v>0</v>
      </c>
      <c r="CE31" s="300">
        <v>0</v>
      </c>
      <c r="CF31" s="300">
        <v>0</v>
      </c>
      <c r="CG31" s="300">
        <v>0</v>
      </c>
      <c r="CH31" s="300">
        <v>0</v>
      </c>
      <c r="CI31" s="300">
        <v>0</v>
      </c>
      <c r="CJ31" s="300">
        <v>0</v>
      </c>
      <c r="CK31" s="300">
        <v>0</v>
      </c>
      <c r="CL31" s="300">
        <v>0</v>
      </c>
      <c r="CM31" s="300">
        <v>0</v>
      </c>
      <c r="CN31" s="300">
        <v>0</v>
      </c>
      <c r="CO31" s="300">
        <v>0</v>
      </c>
      <c r="CP31" s="300">
        <v>0</v>
      </c>
      <c r="CQ31" s="300">
        <v>0</v>
      </c>
      <c r="CR31" s="300">
        <v>0</v>
      </c>
      <c r="CS31" s="300">
        <v>0</v>
      </c>
      <c r="CT31" s="300">
        <v>0</v>
      </c>
      <c r="CU31" s="300">
        <v>0</v>
      </c>
      <c r="CV31" s="300">
        <v>0</v>
      </c>
      <c r="CW31" s="300">
        <v>0</v>
      </c>
      <c r="CX31" s="300">
        <v>0</v>
      </c>
      <c r="CY31" s="300">
        <v>0</v>
      </c>
      <c r="CZ31" s="300">
        <v>0</v>
      </c>
      <c r="DA31" s="300">
        <v>0</v>
      </c>
      <c r="DB31" s="300">
        <v>0</v>
      </c>
      <c r="DC31" s="300">
        <v>0</v>
      </c>
      <c r="DD31" s="300">
        <v>0</v>
      </c>
      <c r="DE31" s="300">
        <v>0</v>
      </c>
      <c r="DF31" s="300">
        <v>0</v>
      </c>
      <c r="DG31" s="300">
        <v>0</v>
      </c>
      <c r="DH31" s="300">
        <v>0</v>
      </c>
      <c r="DI31" s="300">
        <v>0</v>
      </c>
      <c r="DJ31" s="300">
        <v>0</v>
      </c>
      <c r="DK31" s="300">
        <v>0</v>
      </c>
      <c r="DL31" s="300">
        <v>0</v>
      </c>
      <c r="DM31" s="300">
        <v>0</v>
      </c>
      <c r="DN31" s="300">
        <v>0</v>
      </c>
      <c r="DO31" s="300">
        <v>0</v>
      </c>
      <c r="DP31" s="300">
        <v>0</v>
      </c>
      <c r="DQ31" s="300">
        <v>0</v>
      </c>
      <c r="DR31" s="300">
        <v>0</v>
      </c>
      <c r="DS31" s="300">
        <v>0</v>
      </c>
      <c r="DT31" s="300">
        <v>0</v>
      </c>
      <c r="DU31" s="300">
        <v>0</v>
      </c>
      <c r="DV31" s="300">
        <v>0</v>
      </c>
      <c r="DW31" s="296">
        <f t="shared" si="1"/>
        <v>163836787.24307692</v>
      </c>
      <c r="DX31" s="296">
        <f t="shared" si="1"/>
        <v>100347428.71692309</v>
      </c>
      <c r="DY31" s="296">
        <f t="shared" si="1"/>
        <v>34035919.836923078</v>
      </c>
      <c r="DZ31" s="296">
        <f t="shared" si="1"/>
        <v>30115317.230769232</v>
      </c>
      <c r="EA31" s="287"/>
    </row>
    <row r="32" spans="1:132" ht="45.75" customHeight="1" x14ac:dyDescent="0.2">
      <c r="A32" s="293" t="s">
        <v>2010</v>
      </c>
      <c r="B32" s="298"/>
      <c r="C32" s="295">
        <f t="shared" si="31"/>
        <v>86923076.923076928</v>
      </c>
      <c r="D32" s="295">
        <f t="shared" si="32"/>
        <v>58240503.601538464</v>
      </c>
      <c r="E32" s="295">
        <f t="shared" si="33"/>
        <v>34035919.836923078</v>
      </c>
      <c r="F32" s="295">
        <f t="shared" si="34"/>
        <v>30115317.230769232</v>
      </c>
      <c r="G32" s="295">
        <v>0</v>
      </c>
      <c r="H32" s="295">
        <v>0</v>
      </c>
      <c r="I32" s="295">
        <v>0</v>
      </c>
      <c r="J32" s="295">
        <v>0</v>
      </c>
      <c r="K32" s="295">
        <v>0</v>
      </c>
      <c r="L32" s="295">
        <v>0</v>
      </c>
      <c r="M32" s="295">
        <v>0</v>
      </c>
      <c r="N32" s="295">
        <v>0</v>
      </c>
      <c r="O32" s="295">
        <v>0</v>
      </c>
      <c r="P32" s="295">
        <v>0</v>
      </c>
      <c r="Q32" s="295">
        <v>0</v>
      </c>
      <c r="R32" s="295">
        <v>0</v>
      </c>
      <c r="S32" s="295">
        <v>0</v>
      </c>
      <c r="T32" s="295">
        <v>0</v>
      </c>
      <c r="U32" s="295">
        <v>0</v>
      </c>
      <c r="V32" s="295">
        <v>0</v>
      </c>
      <c r="W32" s="295">
        <v>0</v>
      </c>
      <c r="X32" s="295">
        <v>0</v>
      </c>
      <c r="Y32" s="295">
        <v>0</v>
      </c>
      <c r="Z32" s="295">
        <v>0</v>
      </c>
      <c r="AA32" s="295">
        <v>0</v>
      </c>
      <c r="AB32" s="295">
        <v>0</v>
      </c>
      <c r="AC32" s="295">
        <v>0</v>
      </c>
      <c r="AD32" s="295">
        <v>0</v>
      </c>
      <c r="AE32" s="295">
        <f t="shared" si="35"/>
        <v>13067556.473846154</v>
      </c>
      <c r="AF32" s="295">
        <f t="shared" si="36"/>
        <v>846153.84615384613</v>
      </c>
      <c r="AG32" s="295">
        <v>0</v>
      </c>
      <c r="AH32" s="295">
        <v>0</v>
      </c>
      <c r="AI32" s="295">
        <v>0</v>
      </c>
      <c r="AJ32" s="295">
        <v>0</v>
      </c>
      <c r="AK32" s="295">
        <v>0</v>
      </c>
      <c r="AL32" s="295">
        <v>0</v>
      </c>
      <c r="AM32" s="295">
        <v>0</v>
      </c>
      <c r="AN32" s="295">
        <v>0</v>
      </c>
      <c r="AO32" s="295">
        <v>0</v>
      </c>
      <c r="AP32" s="295">
        <v>0</v>
      </c>
      <c r="AQ32" s="295">
        <v>0</v>
      </c>
      <c r="AR32" s="295">
        <v>0</v>
      </c>
      <c r="AS32" s="295">
        <v>0</v>
      </c>
      <c r="AT32" s="295">
        <v>0</v>
      </c>
      <c r="AU32" s="295">
        <v>0</v>
      </c>
      <c r="AV32" s="295">
        <v>0</v>
      </c>
      <c r="AW32" s="295">
        <v>0</v>
      </c>
      <c r="AX32" s="295">
        <v>0</v>
      </c>
      <c r="AY32" s="295">
        <f t="shared" si="37"/>
        <v>13076923.076923076</v>
      </c>
      <c r="AZ32" s="295">
        <v>0</v>
      </c>
      <c r="BA32" s="295">
        <v>0</v>
      </c>
      <c r="BB32" s="295">
        <v>0</v>
      </c>
      <c r="BC32" s="295"/>
      <c r="BD32" s="295"/>
      <c r="BE32" s="295"/>
      <c r="BF32" s="295"/>
      <c r="BG32" s="295">
        <f t="shared" si="38"/>
        <v>50769230.769230768</v>
      </c>
      <c r="BH32" s="295">
        <f t="shared" si="39"/>
        <v>41260771.269230768</v>
      </c>
      <c r="BI32" s="295">
        <v>0</v>
      </c>
      <c r="BJ32" s="295">
        <v>0</v>
      </c>
      <c r="BK32" s="295">
        <v>0</v>
      </c>
      <c r="BL32" s="295">
        <v>0</v>
      </c>
      <c r="BM32" s="295">
        <v>0</v>
      </c>
      <c r="BN32" s="295">
        <v>0</v>
      </c>
      <c r="BO32" s="295">
        <v>0</v>
      </c>
      <c r="BP32" s="295">
        <v>0</v>
      </c>
      <c r="BQ32" s="295">
        <v>0</v>
      </c>
      <c r="BR32" s="295">
        <v>0</v>
      </c>
      <c r="BS32" s="295">
        <v>0</v>
      </c>
      <c r="BT32" s="295">
        <v>0</v>
      </c>
      <c r="BU32" s="295">
        <v>0</v>
      </c>
      <c r="BV32" s="295">
        <v>0</v>
      </c>
      <c r="BW32" s="295">
        <v>0</v>
      </c>
      <c r="BX32" s="295">
        <v>0</v>
      </c>
      <c r="BY32" s="295">
        <v>0</v>
      </c>
      <c r="BZ32" s="295">
        <v>0</v>
      </c>
      <c r="CA32" s="295">
        <v>0</v>
      </c>
      <c r="CB32" s="295">
        <v>0</v>
      </c>
      <c r="CC32" s="295">
        <v>0</v>
      </c>
      <c r="CD32" s="295">
        <v>0</v>
      </c>
      <c r="CE32" s="295">
        <v>0</v>
      </c>
      <c r="CF32" s="295">
        <v>0</v>
      </c>
      <c r="CG32" s="295">
        <v>0</v>
      </c>
      <c r="CH32" s="295">
        <v>0</v>
      </c>
      <c r="CI32" s="300">
        <v>0</v>
      </c>
      <c r="CJ32" s="300">
        <v>0</v>
      </c>
      <c r="CK32" s="300">
        <v>0</v>
      </c>
      <c r="CL32" s="300">
        <v>0</v>
      </c>
      <c r="CM32" s="300">
        <v>0</v>
      </c>
      <c r="CN32" s="300">
        <v>0</v>
      </c>
      <c r="CO32" s="300">
        <v>0</v>
      </c>
      <c r="CP32" s="300">
        <v>0</v>
      </c>
      <c r="CQ32" s="300">
        <v>0</v>
      </c>
      <c r="CR32" s="300">
        <v>0</v>
      </c>
      <c r="CS32" s="300">
        <v>0</v>
      </c>
      <c r="CT32" s="300">
        <v>0</v>
      </c>
      <c r="CU32" s="300">
        <v>0</v>
      </c>
      <c r="CV32" s="300">
        <v>0</v>
      </c>
      <c r="CW32" s="300">
        <v>0</v>
      </c>
      <c r="CX32" s="300">
        <v>0</v>
      </c>
      <c r="CY32" s="300">
        <v>0</v>
      </c>
      <c r="CZ32" s="300">
        <v>0</v>
      </c>
      <c r="DA32" s="300">
        <v>0</v>
      </c>
      <c r="DB32" s="300">
        <v>0</v>
      </c>
      <c r="DC32" s="300">
        <v>0</v>
      </c>
      <c r="DD32" s="300">
        <v>0</v>
      </c>
      <c r="DE32" s="300">
        <v>0</v>
      </c>
      <c r="DF32" s="300">
        <v>0</v>
      </c>
      <c r="DG32" s="300">
        <v>0</v>
      </c>
      <c r="DH32" s="300">
        <v>0</v>
      </c>
      <c r="DI32" s="300">
        <v>0</v>
      </c>
      <c r="DJ32" s="300">
        <v>0</v>
      </c>
      <c r="DK32" s="300">
        <v>0</v>
      </c>
      <c r="DL32" s="300">
        <v>0</v>
      </c>
      <c r="DM32" s="300">
        <v>0</v>
      </c>
      <c r="DN32" s="300">
        <v>0</v>
      </c>
      <c r="DO32" s="300">
        <v>0</v>
      </c>
      <c r="DP32" s="300">
        <v>0</v>
      </c>
      <c r="DQ32" s="300">
        <v>0</v>
      </c>
      <c r="DR32" s="300">
        <v>0</v>
      </c>
      <c r="DS32" s="295">
        <v>0</v>
      </c>
      <c r="DT32" s="295">
        <v>0</v>
      </c>
      <c r="DU32" s="295">
        <v>0</v>
      </c>
      <c r="DV32" s="295">
        <v>0</v>
      </c>
      <c r="DW32" s="296">
        <f t="shared" si="1"/>
        <v>163836787.24307692</v>
      </c>
      <c r="DX32" s="296">
        <f t="shared" si="1"/>
        <v>100347428.71692309</v>
      </c>
      <c r="DY32" s="296">
        <f t="shared" si="1"/>
        <v>34035919.836923078</v>
      </c>
      <c r="DZ32" s="296">
        <f t="shared" si="1"/>
        <v>30115317.230769232</v>
      </c>
      <c r="EA32" s="287"/>
    </row>
    <row r="33" spans="1:132" ht="45.75" customHeight="1" x14ac:dyDescent="0.2">
      <c r="A33" s="293" t="s">
        <v>2011</v>
      </c>
      <c r="B33" s="298"/>
      <c r="C33" s="295">
        <v>0</v>
      </c>
      <c r="D33" s="295">
        <v>0</v>
      </c>
      <c r="E33" s="295"/>
      <c r="F33" s="295">
        <v>0</v>
      </c>
      <c r="G33" s="295">
        <v>0</v>
      </c>
      <c r="H33" s="295">
        <v>0</v>
      </c>
      <c r="I33" s="295">
        <v>0</v>
      </c>
      <c r="J33" s="295">
        <v>0</v>
      </c>
      <c r="K33" s="295">
        <v>0</v>
      </c>
      <c r="L33" s="295">
        <v>0</v>
      </c>
      <c r="M33" s="295">
        <v>0</v>
      </c>
      <c r="N33" s="295">
        <v>0</v>
      </c>
      <c r="O33" s="295">
        <v>0</v>
      </c>
      <c r="P33" s="295">
        <v>0</v>
      </c>
      <c r="Q33" s="295">
        <v>0</v>
      </c>
      <c r="R33" s="295">
        <v>0</v>
      </c>
      <c r="S33" s="295">
        <v>0</v>
      </c>
      <c r="T33" s="295">
        <v>0</v>
      </c>
      <c r="U33" s="295">
        <v>0</v>
      </c>
      <c r="V33" s="295">
        <v>0</v>
      </c>
      <c r="W33" s="295">
        <v>0</v>
      </c>
      <c r="X33" s="295">
        <v>0</v>
      </c>
      <c r="Y33" s="295">
        <v>0</v>
      </c>
      <c r="Z33" s="295">
        <v>0</v>
      </c>
      <c r="AA33" s="295">
        <v>0</v>
      </c>
      <c r="AB33" s="295">
        <v>0</v>
      </c>
      <c r="AC33" s="295">
        <v>0</v>
      </c>
      <c r="AD33" s="295">
        <v>0</v>
      </c>
      <c r="AE33" s="295"/>
      <c r="AF33" s="295"/>
      <c r="AG33" s="295">
        <v>0</v>
      </c>
      <c r="AH33" s="295">
        <v>0</v>
      </c>
      <c r="AI33" s="295">
        <v>0</v>
      </c>
      <c r="AJ33" s="295">
        <v>0</v>
      </c>
      <c r="AK33" s="295">
        <v>0</v>
      </c>
      <c r="AL33" s="295">
        <v>0</v>
      </c>
      <c r="AM33" s="295">
        <v>0</v>
      </c>
      <c r="AN33" s="295">
        <v>0</v>
      </c>
      <c r="AO33" s="295">
        <v>0</v>
      </c>
      <c r="AP33" s="295">
        <v>0</v>
      </c>
      <c r="AQ33" s="295">
        <v>0</v>
      </c>
      <c r="AR33" s="295">
        <v>0</v>
      </c>
      <c r="AS33" s="295">
        <v>0</v>
      </c>
      <c r="AT33" s="295">
        <v>0</v>
      </c>
      <c r="AU33" s="295">
        <v>0</v>
      </c>
      <c r="AV33" s="295">
        <v>0</v>
      </c>
      <c r="AW33" s="295">
        <v>0</v>
      </c>
      <c r="AX33" s="295">
        <v>0</v>
      </c>
      <c r="AY33" s="295"/>
      <c r="AZ33" s="295">
        <v>0</v>
      </c>
      <c r="BA33" s="295">
        <v>0</v>
      </c>
      <c r="BB33" s="295">
        <v>0</v>
      </c>
      <c r="BC33" s="295"/>
      <c r="BD33" s="295"/>
      <c r="BE33" s="295"/>
      <c r="BF33" s="295"/>
      <c r="BG33" s="295">
        <v>0</v>
      </c>
      <c r="BH33" s="295"/>
      <c r="BI33" s="295">
        <v>0</v>
      </c>
      <c r="BJ33" s="295">
        <v>0</v>
      </c>
      <c r="BK33" s="295">
        <v>0</v>
      </c>
      <c r="BL33" s="295">
        <v>0</v>
      </c>
      <c r="BM33" s="295">
        <v>0</v>
      </c>
      <c r="BN33" s="295">
        <v>0</v>
      </c>
      <c r="BO33" s="295">
        <v>0</v>
      </c>
      <c r="BP33" s="295">
        <v>0</v>
      </c>
      <c r="BQ33" s="295">
        <v>0</v>
      </c>
      <c r="BR33" s="295">
        <v>0</v>
      </c>
      <c r="BS33" s="295">
        <v>0</v>
      </c>
      <c r="BT33" s="295">
        <v>0</v>
      </c>
      <c r="BU33" s="295">
        <v>0</v>
      </c>
      <c r="BV33" s="295">
        <v>0</v>
      </c>
      <c r="BW33" s="295">
        <v>0</v>
      </c>
      <c r="BX33" s="295">
        <v>0</v>
      </c>
      <c r="BY33" s="295">
        <v>0</v>
      </c>
      <c r="BZ33" s="295">
        <v>0</v>
      </c>
      <c r="CA33" s="295">
        <v>0</v>
      </c>
      <c r="CB33" s="295">
        <v>0</v>
      </c>
      <c r="CC33" s="295">
        <v>0</v>
      </c>
      <c r="CD33" s="295">
        <v>0</v>
      </c>
      <c r="CE33" s="295">
        <v>0</v>
      </c>
      <c r="CF33" s="295">
        <v>0</v>
      </c>
      <c r="CG33" s="295">
        <v>0</v>
      </c>
      <c r="CH33" s="295">
        <v>0</v>
      </c>
      <c r="CI33" s="300">
        <v>0</v>
      </c>
      <c r="CJ33" s="300">
        <v>0</v>
      </c>
      <c r="CK33" s="300">
        <v>0</v>
      </c>
      <c r="CL33" s="300">
        <v>0</v>
      </c>
      <c r="CM33" s="300">
        <v>0</v>
      </c>
      <c r="CN33" s="300">
        <v>0</v>
      </c>
      <c r="CO33" s="300">
        <v>0</v>
      </c>
      <c r="CP33" s="300">
        <v>0</v>
      </c>
      <c r="CQ33" s="300">
        <v>0</v>
      </c>
      <c r="CR33" s="300">
        <v>0</v>
      </c>
      <c r="CS33" s="300">
        <v>0</v>
      </c>
      <c r="CT33" s="300">
        <v>0</v>
      </c>
      <c r="CU33" s="300">
        <v>0</v>
      </c>
      <c r="CV33" s="300">
        <v>0</v>
      </c>
      <c r="CW33" s="300">
        <v>0</v>
      </c>
      <c r="CX33" s="300">
        <v>0</v>
      </c>
      <c r="CY33" s="300">
        <v>0</v>
      </c>
      <c r="CZ33" s="300">
        <v>0</v>
      </c>
      <c r="DA33" s="300">
        <v>0</v>
      </c>
      <c r="DB33" s="300">
        <v>0</v>
      </c>
      <c r="DC33" s="300">
        <v>0</v>
      </c>
      <c r="DD33" s="300">
        <v>0</v>
      </c>
      <c r="DE33" s="300">
        <v>0</v>
      </c>
      <c r="DF33" s="300">
        <v>0</v>
      </c>
      <c r="DG33" s="300">
        <v>0</v>
      </c>
      <c r="DH33" s="300">
        <v>0</v>
      </c>
      <c r="DI33" s="300">
        <v>0</v>
      </c>
      <c r="DJ33" s="300">
        <v>0</v>
      </c>
      <c r="DK33" s="300">
        <v>0</v>
      </c>
      <c r="DL33" s="300">
        <v>0</v>
      </c>
      <c r="DM33" s="300">
        <v>0</v>
      </c>
      <c r="DN33" s="300">
        <v>0</v>
      </c>
      <c r="DO33" s="300">
        <v>0</v>
      </c>
      <c r="DP33" s="300">
        <v>0</v>
      </c>
      <c r="DQ33" s="300">
        <v>0</v>
      </c>
      <c r="DR33" s="300">
        <v>0</v>
      </c>
      <c r="DS33" s="295">
        <v>0</v>
      </c>
      <c r="DT33" s="295">
        <v>0</v>
      </c>
      <c r="DU33" s="295">
        <v>0</v>
      </c>
      <c r="DV33" s="295">
        <v>0</v>
      </c>
      <c r="DW33" s="296">
        <f t="shared" ref="DW33:DZ66" si="40">+C33+G33+K33+O33+S33+W33+AA33+AE33+AI33+AM33+AQ33+AU33+AY33+BC33+BG33+BK33+BO33+BS33+BW33+CA33+CE33+CI33+CM33+CQ33+CU33+CY33+DC33+DG33+DK33+DO33+DS33</f>
        <v>0</v>
      </c>
      <c r="DX33" s="296">
        <f>+D33+H33+L33+P33+T33+X33+AF33+AN33+AR33+AV33+AZ33+BD33+BH33+BL33+BP33+BT33+BX33+CB33+CF33+CJ33+CN33+CR33+CV33+CZ33+DD33+DH33+DL33+DP33+DT33</f>
        <v>0</v>
      </c>
      <c r="DY33" s="296">
        <f>+E33+I33+M33+Q33+U33+Y33+AG33+AO33+AS33+AW33+BA33+BE33+BI33+BM33+BQ33+BU33+BY33+CC33+CG33+CK33+CO33+CS33+CW33+DA33+DE33+DI33+DM33+DQ33+DU33</f>
        <v>0</v>
      </c>
      <c r="DZ33" s="296">
        <f>+F33+J33+N33+R33+V33+Z33+AH33+AP33+AT33+AX33+BB33+BF33+BJ33+BN33+BR33+BV33+BZ33+CD33+CH33+CL33+CP33+CT33+CX33+DB33+DF33+DJ33+DN33+DR33+DV33</f>
        <v>0</v>
      </c>
      <c r="EA33" s="287"/>
    </row>
    <row r="34" spans="1:132" ht="45.75" customHeight="1" x14ac:dyDescent="0.2">
      <c r="A34" s="297" t="s">
        <v>2012</v>
      </c>
      <c r="B34" s="298"/>
      <c r="C34" s="295">
        <f t="shared" si="31"/>
        <v>86923076.923076928</v>
      </c>
      <c r="D34" s="295">
        <f t="shared" si="32"/>
        <v>58240503.601538464</v>
      </c>
      <c r="E34" s="295">
        <f t="shared" si="33"/>
        <v>34035919.836923078</v>
      </c>
      <c r="F34" s="295">
        <f t="shared" si="34"/>
        <v>30115317.230769232</v>
      </c>
      <c r="G34" s="295">
        <v>0</v>
      </c>
      <c r="H34" s="295">
        <v>0</v>
      </c>
      <c r="I34" s="295">
        <v>0</v>
      </c>
      <c r="J34" s="295">
        <v>0</v>
      </c>
      <c r="K34" s="295">
        <v>0</v>
      </c>
      <c r="L34" s="295">
        <v>0</v>
      </c>
      <c r="M34" s="295">
        <v>0</v>
      </c>
      <c r="N34" s="295">
        <v>0</v>
      </c>
      <c r="O34" s="295">
        <v>0</v>
      </c>
      <c r="P34" s="295">
        <v>0</v>
      </c>
      <c r="Q34" s="295">
        <v>0</v>
      </c>
      <c r="R34" s="295">
        <v>0</v>
      </c>
      <c r="S34" s="295">
        <v>0</v>
      </c>
      <c r="T34" s="295">
        <v>0</v>
      </c>
      <c r="U34" s="295">
        <v>0</v>
      </c>
      <c r="V34" s="295">
        <v>0</v>
      </c>
      <c r="W34" s="295">
        <v>0</v>
      </c>
      <c r="X34" s="295">
        <v>0</v>
      </c>
      <c r="Y34" s="295">
        <v>0</v>
      </c>
      <c r="Z34" s="295">
        <v>0</v>
      </c>
      <c r="AA34" s="295">
        <v>0</v>
      </c>
      <c r="AB34" s="295">
        <v>0</v>
      </c>
      <c r="AC34" s="295">
        <v>0</v>
      </c>
      <c r="AD34" s="295">
        <v>0</v>
      </c>
      <c r="AE34" s="295">
        <f t="shared" si="35"/>
        <v>13067556.473846154</v>
      </c>
      <c r="AF34" s="295">
        <f t="shared" si="36"/>
        <v>846153.84615384613</v>
      </c>
      <c r="AG34" s="295">
        <v>0</v>
      </c>
      <c r="AH34" s="295">
        <v>0</v>
      </c>
      <c r="AI34" s="295">
        <v>0</v>
      </c>
      <c r="AJ34" s="295">
        <v>0</v>
      </c>
      <c r="AK34" s="295">
        <v>0</v>
      </c>
      <c r="AL34" s="295">
        <v>0</v>
      </c>
      <c r="AM34" s="300">
        <v>0</v>
      </c>
      <c r="AN34" s="300">
        <v>0</v>
      </c>
      <c r="AO34" s="300">
        <v>0</v>
      </c>
      <c r="AP34" s="300">
        <v>0</v>
      </c>
      <c r="AQ34" s="300">
        <v>0</v>
      </c>
      <c r="AR34" s="300">
        <v>0</v>
      </c>
      <c r="AS34" s="300">
        <v>0</v>
      </c>
      <c r="AT34" s="300">
        <v>0</v>
      </c>
      <c r="AU34" s="300">
        <v>0</v>
      </c>
      <c r="AV34" s="300">
        <v>0</v>
      </c>
      <c r="AW34" s="300">
        <v>0</v>
      </c>
      <c r="AX34" s="300">
        <v>0</v>
      </c>
      <c r="AY34" s="295">
        <f t="shared" si="37"/>
        <v>13076923.076923076</v>
      </c>
      <c r="AZ34" s="295">
        <v>0</v>
      </c>
      <c r="BA34" s="295">
        <v>0</v>
      </c>
      <c r="BB34" s="295">
        <v>0</v>
      </c>
      <c r="BC34" s="300"/>
      <c r="BD34" s="300"/>
      <c r="BE34" s="300"/>
      <c r="BF34" s="300"/>
      <c r="BG34" s="295">
        <f t="shared" si="38"/>
        <v>50769230.769230768</v>
      </c>
      <c r="BH34" s="295">
        <f t="shared" si="39"/>
        <v>41260771.269230768</v>
      </c>
      <c r="BI34" s="295">
        <v>0</v>
      </c>
      <c r="BJ34" s="295">
        <v>0</v>
      </c>
      <c r="BK34" s="300">
        <v>0</v>
      </c>
      <c r="BL34" s="300">
        <v>0</v>
      </c>
      <c r="BM34" s="300">
        <v>0</v>
      </c>
      <c r="BN34" s="300">
        <v>0</v>
      </c>
      <c r="BO34" s="300">
        <v>0</v>
      </c>
      <c r="BP34" s="300">
        <v>0</v>
      </c>
      <c r="BQ34" s="300">
        <v>0</v>
      </c>
      <c r="BR34" s="300">
        <v>0</v>
      </c>
      <c r="BS34" s="295">
        <v>0</v>
      </c>
      <c r="BT34" s="295">
        <v>0</v>
      </c>
      <c r="BU34" s="295">
        <v>0</v>
      </c>
      <c r="BV34" s="295">
        <v>0</v>
      </c>
      <c r="BW34" s="300">
        <v>0</v>
      </c>
      <c r="BX34" s="300">
        <v>0</v>
      </c>
      <c r="BY34" s="300">
        <v>0</v>
      </c>
      <c r="BZ34" s="300">
        <v>0</v>
      </c>
      <c r="CA34" s="300">
        <v>0</v>
      </c>
      <c r="CB34" s="300">
        <v>0</v>
      </c>
      <c r="CC34" s="300">
        <v>0</v>
      </c>
      <c r="CD34" s="300">
        <v>0</v>
      </c>
      <c r="CE34" s="300">
        <v>0</v>
      </c>
      <c r="CF34" s="300">
        <v>0</v>
      </c>
      <c r="CG34" s="300">
        <v>0</v>
      </c>
      <c r="CH34" s="300">
        <v>0</v>
      </c>
      <c r="CI34" s="300">
        <v>0</v>
      </c>
      <c r="CJ34" s="300">
        <v>0</v>
      </c>
      <c r="CK34" s="300">
        <v>0</v>
      </c>
      <c r="CL34" s="300">
        <v>0</v>
      </c>
      <c r="CM34" s="300">
        <v>0</v>
      </c>
      <c r="CN34" s="300">
        <v>0</v>
      </c>
      <c r="CO34" s="300">
        <v>0</v>
      </c>
      <c r="CP34" s="300">
        <v>0</v>
      </c>
      <c r="CQ34" s="300">
        <v>0</v>
      </c>
      <c r="CR34" s="300">
        <v>0</v>
      </c>
      <c r="CS34" s="300">
        <v>0</v>
      </c>
      <c r="CT34" s="300">
        <v>0</v>
      </c>
      <c r="CU34" s="300">
        <v>0</v>
      </c>
      <c r="CV34" s="300">
        <v>0</v>
      </c>
      <c r="CW34" s="300">
        <v>0</v>
      </c>
      <c r="CX34" s="300">
        <v>0</v>
      </c>
      <c r="CY34" s="300">
        <v>0</v>
      </c>
      <c r="CZ34" s="300">
        <v>0</v>
      </c>
      <c r="DA34" s="300">
        <v>0</v>
      </c>
      <c r="DB34" s="300">
        <v>0</v>
      </c>
      <c r="DC34" s="300">
        <v>0</v>
      </c>
      <c r="DD34" s="300">
        <v>0</v>
      </c>
      <c r="DE34" s="300">
        <v>0</v>
      </c>
      <c r="DF34" s="300">
        <v>0</v>
      </c>
      <c r="DG34" s="300">
        <v>0</v>
      </c>
      <c r="DH34" s="300">
        <v>0</v>
      </c>
      <c r="DI34" s="300">
        <v>0</v>
      </c>
      <c r="DJ34" s="300">
        <v>0</v>
      </c>
      <c r="DK34" s="300">
        <v>0</v>
      </c>
      <c r="DL34" s="300">
        <v>0</v>
      </c>
      <c r="DM34" s="300">
        <v>0</v>
      </c>
      <c r="DN34" s="300">
        <v>0</v>
      </c>
      <c r="DO34" s="300">
        <v>0</v>
      </c>
      <c r="DP34" s="300">
        <v>0</v>
      </c>
      <c r="DQ34" s="300">
        <v>0</v>
      </c>
      <c r="DR34" s="300">
        <v>0</v>
      </c>
      <c r="DS34" s="300">
        <v>0</v>
      </c>
      <c r="DT34" s="300">
        <v>0</v>
      </c>
      <c r="DU34" s="300">
        <v>0</v>
      </c>
      <c r="DV34" s="300">
        <v>0</v>
      </c>
      <c r="DW34" s="296">
        <f t="shared" si="40"/>
        <v>163836787.24307692</v>
      </c>
      <c r="DX34" s="296">
        <f t="shared" si="40"/>
        <v>100347428.71692309</v>
      </c>
      <c r="DY34" s="296">
        <f t="shared" si="40"/>
        <v>34035919.836923078</v>
      </c>
      <c r="DZ34" s="296">
        <f t="shared" si="40"/>
        <v>30115317.230769232</v>
      </c>
      <c r="EA34" s="287"/>
    </row>
    <row r="35" spans="1:132" ht="45.75" customHeight="1" x14ac:dyDescent="0.2">
      <c r="A35" s="297" t="s">
        <v>2013</v>
      </c>
      <c r="B35" s="298"/>
      <c r="C35" s="295">
        <f t="shared" si="31"/>
        <v>86923076.923076928</v>
      </c>
      <c r="D35" s="295">
        <f t="shared" si="32"/>
        <v>58240503.601538464</v>
      </c>
      <c r="E35" s="295">
        <f t="shared" si="33"/>
        <v>34035919.836923078</v>
      </c>
      <c r="F35" s="295">
        <f t="shared" si="34"/>
        <v>30115317.230769232</v>
      </c>
      <c r="G35" s="295">
        <v>0</v>
      </c>
      <c r="H35" s="295">
        <v>0</v>
      </c>
      <c r="I35" s="295">
        <v>0</v>
      </c>
      <c r="J35" s="295">
        <v>0</v>
      </c>
      <c r="K35" s="295">
        <v>0</v>
      </c>
      <c r="L35" s="295">
        <v>0</v>
      </c>
      <c r="M35" s="295">
        <v>0</v>
      </c>
      <c r="N35" s="295">
        <v>0</v>
      </c>
      <c r="O35" s="295">
        <v>0</v>
      </c>
      <c r="P35" s="295">
        <v>0</v>
      </c>
      <c r="Q35" s="295">
        <v>0</v>
      </c>
      <c r="R35" s="295">
        <v>0</v>
      </c>
      <c r="S35" s="295">
        <v>0</v>
      </c>
      <c r="T35" s="295">
        <v>0</v>
      </c>
      <c r="U35" s="295">
        <v>0</v>
      </c>
      <c r="V35" s="295">
        <v>0</v>
      </c>
      <c r="W35" s="295">
        <v>0</v>
      </c>
      <c r="X35" s="295">
        <v>0</v>
      </c>
      <c r="Y35" s="295">
        <v>0</v>
      </c>
      <c r="Z35" s="295">
        <v>0</v>
      </c>
      <c r="AA35" s="295">
        <v>0</v>
      </c>
      <c r="AB35" s="295">
        <v>0</v>
      </c>
      <c r="AC35" s="295">
        <v>0</v>
      </c>
      <c r="AD35" s="295">
        <v>0</v>
      </c>
      <c r="AE35" s="295">
        <f t="shared" si="35"/>
        <v>13067556.473846154</v>
      </c>
      <c r="AF35" s="295">
        <f t="shared" si="36"/>
        <v>846153.84615384613</v>
      </c>
      <c r="AG35" s="295">
        <v>0</v>
      </c>
      <c r="AH35" s="295">
        <v>0</v>
      </c>
      <c r="AI35" s="295">
        <v>0</v>
      </c>
      <c r="AJ35" s="295">
        <v>0</v>
      </c>
      <c r="AK35" s="295">
        <v>0</v>
      </c>
      <c r="AL35" s="295">
        <v>0</v>
      </c>
      <c r="AM35" s="300">
        <v>0</v>
      </c>
      <c r="AN35" s="300">
        <v>0</v>
      </c>
      <c r="AO35" s="300">
        <v>0</v>
      </c>
      <c r="AP35" s="300">
        <v>0</v>
      </c>
      <c r="AQ35" s="300">
        <v>0</v>
      </c>
      <c r="AR35" s="300">
        <v>0</v>
      </c>
      <c r="AS35" s="300">
        <v>0</v>
      </c>
      <c r="AT35" s="300">
        <v>0</v>
      </c>
      <c r="AU35" s="300">
        <v>0</v>
      </c>
      <c r="AV35" s="300">
        <v>0</v>
      </c>
      <c r="AW35" s="300">
        <v>0</v>
      </c>
      <c r="AX35" s="300">
        <v>0</v>
      </c>
      <c r="AY35" s="295">
        <f t="shared" si="37"/>
        <v>13076923.076923076</v>
      </c>
      <c r="AZ35" s="295">
        <v>0</v>
      </c>
      <c r="BA35" s="295">
        <v>0</v>
      </c>
      <c r="BB35" s="295">
        <v>0</v>
      </c>
      <c r="BC35" s="300"/>
      <c r="BD35" s="300"/>
      <c r="BE35" s="300"/>
      <c r="BF35" s="300"/>
      <c r="BG35" s="295">
        <f t="shared" si="38"/>
        <v>50769230.769230768</v>
      </c>
      <c r="BH35" s="295">
        <f t="shared" si="39"/>
        <v>41260771.269230768</v>
      </c>
      <c r="BI35" s="295">
        <v>0</v>
      </c>
      <c r="BJ35" s="295">
        <v>0</v>
      </c>
      <c r="BK35" s="300">
        <v>0</v>
      </c>
      <c r="BL35" s="300">
        <v>0</v>
      </c>
      <c r="BM35" s="300">
        <v>0</v>
      </c>
      <c r="BN35" s="300">
        <v>0</v>
      </c>
      <c r="BO35" s="300">
        <v>0</v>
      </c>
      <c r="BP35" s="300">
        <v>0</v>
      </c>
      <c r="BQ35" s="300">
        <v>0</v>
      </c>
      <c r="BR35" s="300">
        <v>0</v>
      </c>
      <c r="BS35" s="295">
        <v>0</v>
      </c>
      <c r="BT35" s="295">
        <v>0</v>
      </c>
      <c r="BU35" s="295">
        <v>0</v>
      </c>
      <c r="BV35" s="295">
        <v>0</v>
      </c>
      <c r="BW35" s="300">
        <v>0</v>
      </c>
      <c r="BX35" s="300">
        <v>0</v>
      </c>
      <c r="BY35" s="300">
        <v>0</v>
      </c>
      <c r="BZ35" s="300">
        <v>0</v>
      </c>
      <c r="CA35" s="300">
        <v>0</v>
      </c>
      <c r="CB35" s="300">
        <v>0</v>
      </c>
      <c r="CC35" s="300">
        <v>0</v>
      </c>
      <c r="CD35" s="300">
        <v>0</v>
      </c>
      <c r="CE35" s="300">
        <v>0</v>
      </c>
      <c r="CF35" s="300">
        <v>0</v>
      </c>
      <c r="CG35" s="300">
        <v>0</v>
      </c>
      <c r="CH35" s="300">
        <v>0</v>
      </c>
      <c r="CI35" s="300">
        <v>0</v>
      </c>
      <c r="CJ35" s="300">
        <v>0</v>
      </c>
      <c r="CK35" s="300">
        <v>0</v>
      </c>
      <c r="CL35" s="300">
        <v>0</v>
      </c>
      <c r="CM35" s="300">
        <v>0</v>
      </c>
      <c r="CN35" s="300">
        <v>0</v>
      </c>
      <c r="CO35" s="300">
        <v>0</v>
      </c>
      <c r="CP35" s="300">
        <v>0</v>
      </c>
      <c r="CQ35" s="300">
        <v>0</v>
      </c>
      <c r="CR35" s="300">
        <v>0</v>
      </c>
      <c r="CS35" s="300">
        <v>0</v>
      </c>
      <c r="CT35" s="300">
        <v>0</v>
      </c>
      <c r="CU35" s="300">
        <v>0</v>
      </c>
      <c r="CV35" s="300">
        <v>0</v>
      </c>
      <c r="CW35" s="300">
        <v>0</v>
      </c>
      <c r="CX35" s="300">
        <v>0</v>
      </c>
      <c r="CY35" s="300">
        <v>0</v>
      </c>
      <c r="CZ35" s="300">
        <v>0</v>
      </c>
      <c r="DA35" s="300">
        <v>0</v>
      </c>
      <c r="DB35" s="300">
        <v>0</v>
      </c>
      <c r="DC35" s="300">
        <v>0</v>
      </c>
      <c r="DD35" s="300">
        <v>0</v>
      </c>
      <c r="DE35" s="300">
        <v>0</v>
      </c>
      <c r="DF35" s="300">
        <v>0</v>
      </c>
      <c r="DG35" s="300">
        <v>0</v>
      </c>
      <c r="DH35" s="300">
        <v>0</v>
      </c>
      <c r="DI35" s="300">
        <v>0</v>
      </c>
      <c r="DJ35" s="300">
        <v>0</v>
      </c>
      <c r="DK35" s="300">
        <v>0</v>
      </c>
      <c r="DL35" s="300">
        <v>0</v>
      </c>
      <c r="DM35" s="300">
        <v>0</v>
      </c>
      <c r="DN35" s="300">
        <v>0</v>
      </c>
      <c r="DO35" s="300">
        <v>0</v>
      </c>
      <c r="DP35" s="300">
        <v>0</v>
      </c>
      <c r="DQ35" s="300">
        <v>0</v>
      </c>
      <c r="DR35" s="300">
        <v>0</v>
      </c>
      <c r="DS35" s="300">
        <v>0</v>
      </c>
      <c r="DT35" s="300">
        <v>0</v>
      </c>
      <c r="DU35" s="300">
        <v>0</v>
      </c>
      <c r="DV35" s="300">
        <v>0</v>
      </c>
      <c r="DW35" s="296">
        <f t="shared" si="40"/>
        <v>163836787.24307692</v>
      </c>
      <c r="DX35" s="296">
        <f t="shared" si="40"/>
        <v>100347428.71692309</v>
      </c>
      <c r="DY35" s="296">
        <f t="shared" si="40"/>
        <v>34035919.836923078</v>
      </c>
      <c r="DZ35" s="296">
        <f t="shared" si="40"/>
        <v>30115317.230769232</v>
      </c>
      <c r="EA35" s="287"/>
    </row>
    <row r="36" spans="1:132" ht="45.75" customHeight="1" x14ac:dyDescent="0.2">
      <c r="A36" s="297" t="s">
        <v>2014</v>
      </c>
      <c r="B36" s="298"/>
      <c r="C36" s="295">
        <f t="shared" si="31"/>
        <v>86923076.923076928</v>
      </c>
      <c r="D36" s="295">
        <f t="shared" si="32"/>
        <v>58240503.601538464</v>
      </c>
      <c r="E36" s="295">
        <f t="shared" si="33"/>
        <v>34035919.836923078</v>
      </c>
      <c r="F36" s="295">
        <f t="shared" si="34"/>
        <v>30115317.230769232</v>
      </c>
      <c r="G36" s="295">
        <v>0</v>
      </c>
      <c r="H36" s="295">
        <v>0</v>
      </c>
      <c r="I36" s="295">
        <v>0</v>
      </c>
      <c r="J36" s="295">
        <v>0</v>
      </c>
      <c r="K36" s="295">
        <v>0</v>
      </c>
      <c r="L36" s="295">
        <v>0</v>
      </c>
      <c r="M36" s="295">
        <v>0</v>
      </c>
      <c r="N36" s="295">
        <v>0</v>
      </c>
      <c r="O36" s="295">
        <v>0</v>
      </c>
      <c r="P36" s="295">
        <v>0</v>
      </c>
      <c r="Q36" s="295">
        <v>0</v>
      </c>
      <c r="R36" s="295">
        <v>0</v>
      </c>
      <c r="S36" s="295">
        <v>0</v>
      </c>
      <c r="T36" s="295">
        <v>0</v>
      </c>
      <c r="U36" s="295">
        <v>0</v>
      </c>
      <c r="V36" s="295">
        <v>0</v>
      </c>
      <c r="W36" s="295">
        <v>0</v>
      </c>
      <c r="X36" s="295">
        <v>0</v>
      </c>
      <c r="Y36" s="295">
        <v>0</v>
      </c>
      <c r="Z36" s="295">
        <v>0</v>
      </c>
      <c r="AA36" s="295">
        <v>0</v>
      </c>
      <c r="AB36" s="295">
        <v>0</v>
      </c>
      <c r="AC36" s="295">
        <v>0</v>
      </c>
      <c r="AD36" s="295">
        <v>0</v>
      </c>
      <c r="AE36" s="295">
        <f t="shared" si="35"/>
        <v>13067556.473846154</v>
      </c>
      <c r="AF36" s="295">
        <f t="shared" si="36"/>
        <v>846153.84615384613</v>
      </c>
      <c r="AG36" s="295">
        <v>0</v>
      </c>
      <c r="AH36" s="295">
        <v>0</v>
      </c>
      <c r="AI36" s="295">
        <v>0</v>
      </c>
      <c r="AJ36" s="295">
        <v>0</v>
      </c>
      <c r="AK36" s="295">
        <v>0</v>
      </c>
      <c r="AL36" s="295">
        <v>0</v>
      </c>
      <c r="AM36" s="300">
        <v>0</v>
      </c>
      <c r="AN36" s="300">
        <v>0</v>
      </c>
      <c r="AO36" s="300">
        <v>0</v>
      </c>
      <c r="AP36" s="300">
        <v>0</v>
      </c>
      <c r="AQ36" s="300">
        <v>0</v>
      </c>
      <c r="AR36" s="300">
        <v>0</v>
      </c>
      <c r="AS36" s="300">
        <v>0</v>
      </c>
      <c r="AT36" s="300">
        <v>0</v>
      </c>
      <c r="AU36" s="300">
        <v>0</v>
      </c>
      <c r="AV36" s="300">
        <v>0</v>
      </c>
      <c r="AW36" s="300">
        <v>0</v>
      </c>
      <c r="AX36" s="300">
        <v>0</v>
      </c>
      <c r="AY36" s="295">
        <f t="shared" si="37"/>
        <v>13076923.076923076</v>
      </c>
      <c r="AZ36" s="295">
        <v>0</v>
      </c>
      <c r="BA36" s="295">
        <v>0</v>
      </c>
      <c r="BB36" s="295">
        <v>0</v>
      </c>
      <c r="BC36" s="300"/>
      <c r="BD36" s="300"/>
      <c r="BE36" s="300"/>
      <c r="BF36" s="300"/>
      <c r="BG36" s="295">
        <f t="shared" si="38"/>
        <v>50769230.769230768</v>
      </c>
      <c r="BH36" s="295">
        <f t="shared" si="39"/>
        <v>41260771.269230768</v>
      </c>
      <c r="BI36" s="295">
        <v>0</v>
      </c>
      <c r="BJ36" s="295">
        <v>0</v>
      </c>
      <c r="BK36" s="300">
        <v>0</v>
      </c>
      <c r="BL36" s="300">
        <v>0</v>
      </c>
      <c r="BM36" s="300">
        <v>0</v>
      </c>
      <c r="BN36" s="300">
        <v>0</v>
      </c>
      <c r="BO36" s="300">
        <v>0</v>
      </c>
      <c r="BP36" s="300">
        <v>0</v>
      </c>
      <c r="BQ36" s="300">
        <v>0</v>
      </c>
      <c r="BR36" s="300">
        <v>0</v>
      </c>
      <c r="BS36" s="295">
        <v>0</v>
      </c>
      <c r="BT36" s="295">
        <v>0</v>
      </c>
      <c r="BU36" s="295">
        <v>0</v>
      </c>
      <c r="BV36" s="295">
        <v>0</v>
      </c>
      <c r="BW36" s="300">
        <v>0</v>
      </c>
      <c r="BX36" s="300">
        <v>0</v>
      </c>
      <c r="BY36" s="300">
        <v>0</v>
      </c>
      <c r="BZ36" s="300">
        <v>0</v>
      </c>
      <c r="CA36" s="300">
        <v>0</v>
      </c>
      <c r="CB36" s="300">
        <v>0</v>
      </c>
      <c r="CC36" s="300">
        <v>0</v>
      </c>
      <c r="CD36" s="300">
        <v>0</v>
      </c>
      <c r="CE36" s="300">
        <v>0</v>
      </c>
      <c r="CF36" s="300">
        <v>0</v>
      </c>
      <c r="CG36" s="300">
        <v>0</v>
      </c>
      <c r="CH36" s="300">
        <v>0</v>
      </c>
      <c r="CI36" s="300">
        <v>0</v>
      </c>
      <c r="CJ36" s="300">
        <v>0</v>
      </c>
      <c r="CK36" s="300">
        <v>0</v>
      </c>
      <c r="CL36" s="300">
        <v>0</v>
      </c>
      <c r="CM36" s="300">
        <v>0</v>
      </c>
      <c r="CN36" s="300">
        <v>0</v>
      </c>
      <c r="CO36" s="300">
        <v>0</v>
      </c>
      <c r="CP36" s="300">
        <v>0</v>
      </c>
      <c r="CQ36" s="300">
        <v>0</v>
      </c>
      <c r="CR36" s="300">
        <v>0</v>
      </c>
      <c r="CS36" s="300">
        <v>0</v>
      </c>
      <c r="CT36" s="300">
        <v>0</v>
      </c>
      <c r="CU36" s="300">
        <v>0</v>
      </c>
      <c r="CV36" s="300">
        <v>0</v>
      </c>
      <c r="CW36" s="300">
        <v>0</v>
      </c>
      <c r="CX36" s="300">
        <v>0</v>
      </c>
      <c r="CY36" s="300">
        <v>0</v>
      </c>
      <c r="CZ36" s="300">
        <v>0</v>
      </c>
      <c r="DA36" s="300">
        <v>0</v>
      </c>
      <c r="DB36" s="300">
        <v>0</v>
      </c>
      <c r="DC36" s="300">
        <v>0</v>
      </c>
      <c r="DD36" s="300">
        <v>0</v>
      </c>
      <c r="DE36" s="300">
        <v>0</v>
      </c>
      <c r="DF36" s="300">
        <v>0</v>
      </c>
      <c r="DG36" s="300">
        <v>0</v>
      </c>
      <c r="DH36" s="300">
        <v>0</v>
      </c>
      <c r="DI36" s="300">
        <v>0</v>
      </c>
      <c r="DJ36" s="300">
        <v>0</v>
      </c>
      <c r="DK36" s="300">
        <v>0</v>
      </c>
      <c r="DL36" s="300">
        <v>0</v>
      </c>
      <c r="DM36" s="300">
        <v>0</v>
      </c>
      <c r="DN36" s="300">
        <v>0</v>
      </c>
      <c r="DO36" s="300">
        <v>0</v>
      </c>
      <c r="DP36" s="300">
        <v>0</v>
      </c>
      <c r="DQ36" s="300">
        <v>0</v>
      </c>
      <c r="DR36" s="300">
        <v>0</v>
      </c>
      <c r="DS36" s="300">
        <v>0</v>
      </c>
      <c r="DT36" s="300">
        <v>0</v>
      </c>
      <c r="DU36" s="300">
        <v>0</v>
      </c>
      <c r="DV36" s="300">
        <v>0</v>
      </c>
      <c r="DW36" s="296">
        <f t="shared" si="40"/>
        <v>163836787.24307692</v>
      </c>
      <c r="DX36" s="296">
        <f t="shared" si="40"/>
        <v>100347428.71692309</v>
      </c>
      <c r="DY36" s="296">
        <f t="shared" si="40"/>
        <v>34035919.836923078</v>
      </c>
      <c r="DZ36" s="296">
        <f t="shared" si="40"/>
        <v>30115317.230769232</v>
      </c>
      <c r="EA36" s="287"/>
    </row>
    <row r="37" spans="1:132" ht="45.75" customHeight="1" x14ac:dyDescent="0.2">
      <c r="A37" s="297" t="s">
        <v>2015</v>
      </c>
      <c r="B37" s="298"/>
      <c r="C37" s="295">
        <f t="shared" si="31"/>
        <v>86923076.923076928</v>
      </c>
      <c r="D37" s="295">
        <f t="shared" si="32"/>
        <v>58240503.601538464</v>
      </c>
      <c r="E37" s="295">
        <f t="shared" si="33"/>
        <v>34035919.836923078</v>
      </c>
      <c r="F37" s="295">
        <f t="shared" si="34"/>
        <v>30115317.230769232</v>
      </c>
      <c r="G37" s="295">
        <v>0</v>
      </c>
      <c r="H37" s="295">
        <v>0</v>
      </c>
      <c r="I37" s="295">
        <v>0</v>
      </c>
      <c r="J37" s="295">
        <v>0</v>
      </c>
      <c r="K37" s="295">
        <v>0</v>
      </c>
      <c r="L37" s="295">
        <v>0</v>
      </c>
      <c r="M37" s="295">
        <v>0</v>
      </c>
      <c r="N37" s="295">
        <v>0</v>
      </c>
      <c r="O37" s="295">
        <v>0</v>
      </c>
      <c r="P37" s="295">
        <v>0</v>
      </c>
      <c r="Q37" s="295">
        <v>0</v>
      </c>
      <c r="R37" s="295">
        <v>0</v>
      </c>
      <c r="S37" s="295">
        <v>0</v>
      </c>
      <c r="T37" s="295">
        <v>0</v>
      </c>
      <c r="U37" s="295">
        <v>0</v>
      </c>
      <c r="V37" s="295">
        <v>0</v>
      </c>
      <c r="W37" s="295">
        <v>0</v>
      </c>
      <c r="X37" s="295">
        <v>0</v>
      </c>
      <c r="Y37" s="295">
        <v>0</v>
      </c>
      <c r="Z37" s="295">
        <v>0</v>
      </c>
      <c r="AA37" s="295">
        <v>0</v>
      </c>
      <c r="AB37" s="295">
        <v>0</v>
      </c>
      <c r="AC37" s="295">
        <v>0</v>
      </c>
      <c r="AD37" s="295">
        <v>0</v>
      </c>
      <c r="AE37" s="295">
        <f t="shared" si="35"/>
        <v>13067556.473846154</v>
      </c>
      <c r="AF37" s="295">
        <f t="shared" si="36"/>
        <v>846153.84615384613</v>
      </c>
      <c r="AG37" s="295">
        <v>0</v>
      </c>
      <c r="AH37" s="295">
        <v>0</v>
      </c>
      <c r="AI37" s="295">
        <v>0</v>
      </c>
      <c r="AJ37" s="295">
        <v>0</v>
      </c>
      <c r="AK37" s="295">
        <v>0</v>
      </c>
      <c r="AL37" s="295">
        <v>0</v>
      </c>
      <c r="AM37" s="300">
        <v>0</v>
      </c>
      <c r="AN37" s="300">
        <v>0</v>
      </c>
      <c r="AO37" s="300">
        <v>0</v>
      </c>
      <c r="AP37" s="300">
        <v>0</v>
      </c>
      <c r="AQ37" s="300">
        <v>0</v>
      </c>
      <c r="AR37" s="300">
        <v>0</v>
      </c>
      <c r="AS37" s="300">
        <v>0</v>
      </c>
      <c r="AT37" s="300">
        <v>0</v>
      </c>
      <c r="AU37" s="300">
        <v>0</v>
      </c>
      <c r="AV37" s="300">
        <v>0</v>
      </c>
      <c r="AW37" s="300">
        <v>0</v>
      </c>
      <c r="AX37" s="300">
        <v>0</v>
      </c>
      <c r="AY37" s="295">
        <f t="shared" si="37"/>
        <v>13076923.076923076</v>
      </c>
      <c r="AZ37" s="295">
        <v>0</v>
      </c>
      <c r="BA37" s="295">
        <v>0</v>
      </c>
      <c r="BB37" s="295">
        <v>0</v>
      </c>
      <c r="BC37" s="300"/>
      <c r="BD37" s="300"/>
      <c r="BE37" s="300"/>
      <c r="BF37" s="300"/>
      <c r="BG37" s="295">
        <f t="shared" si="38"/>
        <v>50769230.769230768</v>
      </c>
      <c r="BH37" s="295">
        <f t="shared" si="39"/>
        <v>41260771.269230768</v>
      </c>
      <c r="BI37" s="295">
        <v>0</v>
      </c>
      <c r="BJ37" s="295">
        <v>0</v>
      </c>
      <c r="BK37" s="300">
        <v>0</v>
      </c>
      <c r="BL37" s="300">
        <v>0</v>
      </c>
      <c r="BM37" s="300">
        <v>0</v>
      </c>
      <c r="BN37" s="300">
        <v>0</v>
      </c>
      <c r="BO37" s="300">
        <v>0</v>
      </c>
      <c r="BP37" s="300">
        <v>0</v>
      </c>
      <c r="BQ37" s="300">
        <v>0</v>
      </c>
      <c r="BR37" s="300">
        <v>0</v>
      </c>
      <c r="BS37" s="295">
        <v>0</v>
      </c>
      <c r="BT37" s="295">
        <v>0</v>
      </c>
      <c r="BU37" s="295">
        <v>0</v>
      </c>
      <c r="BV37" s="295">
        <v>0</v>
      </c>
      <c r="BW37" s="300">
        <v>0</v>
      </c>
      <c r="BX37" s="300">
        <v>0</v>
      </c>
      <c r="BY37" s="300">
        <v>0</v>
      </c>
      <c r="BZ37" s="300">
        <v>0</v>
      </c>
      <c r="CA37" s="300">
        <v>0</v>
      </c>
      <c r="CB37" s="300">
        <v>0</v>
      </c>
      <c r="CC37" s="300">
        <v>0</v>
      </c>
      <c r="CD37" s="300">
        <v>0</v>
      </c>
      <c r="CE37" s="300">
        <v>0</v>
      </c>
      <c r="CF37" s="300">
        <v>0</v>
      </c>
      <c r="CG37" s="300">
        <v>0</v>
      </c>
      <c r="CH37" s="300">
        <v>0</v>
      </c>
      <c r="CI37" s="300">
        <v>0</v>
      </c>
      <c r="CJ37" s="300">
        <v>0</v>
      </c>
      <c r="CK37" s="300">
        <v>0</v>
      </c>
      <c r="CL37" s="300">
        <v>0</v>
      </c>
      <c r="CM37" s="300">
        <v>0</v>
      </c>
      <c r="CN37" s="300">
        <v>0</v>
      </c>
      <c r="CO37" s="300">
        <v>0</v>
      </c>
      <c r="CP37" s="300">
        <v>0</v>
      </c>
      <c r="CQ37" s="300">
        <v>0</v>
      </c>
      <c r="CR37" s="300">
        <v>0</v>
      </c>
      <c r="CS37" s="300">
        <v>0</v>
      </c>
      <c r="CT37" s="300">
        <v>0</v>
      </c>
      <c r="CU37" s="300">
        <v>0</v>
      </c>
      <c r="CV37" s="300">
        <v>0</v>
      </c>
      <c r="CW37" s="300">
        <v>0</v>
      </c>
      <c r="CX37" s="300">
        <v>0</v>
      </c>
      <c r="CY37" s="300">
        <v>0</v>
      </c>
      <c r="CZ37" s="300">
        <v>0</v>
      </c>
      <c r="DA37" s="300">
        <v>0</v>
      </c>
      <c r="DB37" s="300">
        <v>0</v>
      </c>
      <c r="DC37" s="300">
        <v>0</v>
      </c>
      <c r="DD37" s="300">
        <v>0</v>
      </c>
      <c r="DE37" s="300">
        <v>0</v>
      </c>
      <c r="DF37" s="300">
        <v>0</v>
      </c>
      <c r="DG37" s="300">
        <v>0</v>
      </c>
      <c r="DH37" s="300">
        <v>0</v>
      </c>
      <c r="DI37" s="300">
        <v>0</v>
      </c>
      <c r="DJ37" s="300">
        <v>0</v>
      </c>
      <c r="DK37" s="300">
        <v>0</v>
      </c>
      <c r="DL37" s="300">
        <v>0</v>
      </c>
      <c r="DM37" s="300">
        <v>0</v>
      </c>
      <c r="DN37" s="300">
        <v>0</v>
      </c>
      <c r="DO37" s="300">
        <v>0</v>
      </c>
      <c r="DP37" s="300">
        <v>0</v>
      </c>
      <c r="DQ37" s="300">
        <v>0</v>
      </c>
      <c r="DR37" s="300">
        <v>0</v>
      </c>
      <c r="DS37" s="300">
        <v>0</v>
      </c>
      <c r="DT37" s="300">
        <v>0</v>
      </c>
      <c r="DU37" s="300">
        <v>0</v>
      </c>
      <c r="DV37" s="300">
        <v>0</v>
      </c>
      <c r="DW37" s="296">
        <f t="shared" si="40"/>
        <v>163836787.24307692</v>
      </c>
      <c r="DX37" s="296">
        <f t="shared" si="40"/>
        <v>100347428.71692309</v>
      </c>
      <c r="DY37" s="296">
        <f t="shared" si="40"/>
        <v>34035919.836923078</v>
      </c>
      <c r="DZ37" s="296">
        <f t="shared" si="40"/>
        <v>30115317.230769232</v>
      </c>
      <c r="EA37" s="287"/>
    </row>
    <row r="38" spans="1:132" ht="45.75" customHeight="1" x14ac:dyDescent="0.2">
      <c r="A38" s="297" t="s">
        <v>2016</v>
      </c>
      <c r="B38" s="301"/>
      <c r="C38" s="295">
        <f t="shared" si="31"/>
        <v>86923076.923076928</v>
      </c>
      <c r="D38" s="295">
        <f t="shared" si="32"/>
        <v>58240503.601538464</v>
      </c>
      <c r="E38" s="295">
        <f t="shared" si="33"/>
        <v>34035919.836923078</v>
      </c>
      <c r="F38" s="295">
        <f t="shared" si="34"/>
        <v>30115317.230769232</v>
      </c>
      <c r="G38" s="295">
        <v>0</v>
      </c>
      <c r="H38" s="295">
        <v>0</v>
      </c>
      <c r="I38" s="295">
        <v>0</v>
      </c>
      <c r="J38" s="295">
        <v>0</v>
      </c>
      <c r="K38" s="295">
        <v>0</v>
      </c>
      <c r="L38" s="295">
        <v>0</v>
      </c>
      <c r="M38" s="295">
        <v>0</v>
      </c>
      <c r="N38" s="295">
        <v>0</v>
      </c>
      <c r="O38" s="295">
        <v>0</v>
      </c>
      <c r="P38" s="295">
        <v>0</v>
      </c>
      <c r="Q38" s="295">
        <v>0</v>
      </c>
      <c r="R38" s="295">
        <v>0</v>
      </c>
      <c r="S38" s="295">
        <v>0</v>
      </c>
      <c r="T38" s="295">
        <v>0</v>
      </c>
      <c r="U38" s="295">
        <v>0</v>
      </c>
      <c r="V38" s="295">
        <v>0</v>
      </c>
      <c r="W38" s="295">
        <v>0</v>
      </c>
      <c r="X38" s="295">
        <v>0</v>
      </c>
      <c r="Y38" s="295">
        <v>0</v>
      </c>
      <c r="Z38" s="295">
        <v>0</v>
      </c>
      <c r="AA38" s="295">
        <v>0</v>
      </c>
      <c r="AB38" s="295">
        <v>0</v>
      </c>
      <c r="AC38" s="295">
        <v>0</v>
      </c>
      <c r="AD38" s="295">
        <v>0</v>
      </c>
      <c r="AE38" s="295">
        <f t="shared" si="35"/>
        <v>13067556.473846154</v>
      </c>
      <c r="AF38" s="295">
        <f t="shared" si="36"/>
        <v>846153.84615384613</v>
      </c>
      <c r="AG38" s="295">
        <v>0</v>
      </c>
      <c r="AH38" s="295">
        <v>0</v>
      </c>
      <c r="AI38" s="295">
        <v>0</v>
      </c>
      <c r="AJ38" s="295">
        <v>0</v>
      </c>
      <c r="AK38" s="295">
        <v>0</v>
      </c>
      <c r="AL38" s="295">
        <v>0</v>
      </c>
      <c r="AM38" s="300">
        <v>0</v>
      </c>
      <c r="AN38" s="300">
        <v>0</v>
      </c>
      <c r="AO38" s="300">
        <v>0</v>
      </c>
      <c r="AP38" s="300">
        <v>0</v>
      </c>
      <c r="AQ38" s="300">
        <v>0</v>
      </c>
      <c r="AR38" s="300">
        <v>0</v>
      </c>
      <c r="AS38" s="300">
        <v>0</v>
      </c>
      <c r="AT38" s="300">
        <v>0</v>
      </c>
      <c r="AU38" s="300">
        <v>0</v>
      </c>
      <c r="AV38" s="300">
        <v>0</v>
      </c>
      <c r="AW38" s="300">
        <v>0</v>
      </c>
      <c r="AX38" s="300">
        <v>0</v>
      </c>
      <c r="AY38" s="295">
        <f t="shared" si="37"/>
        <v>13076923.076923076</v>
      </c>
      <c r="AZ38" s="295">
        <v>0</v>
      </c>
      <c r="BA38" s="295">
        <v>0</v>
      </c>
      <c r="BB38" s="295">
        <v>0</v>
      </c>
      <c r="BC38" s="300"/>
      <c r="BD38" s="300"/>
      <c r="BE38" s="300"/>
      <c r="BF38" s="300"/>
      <c r="BG38" s="295">
        <f t="shared" si="38"/>
        <v>50769230.769230768</v>
      </c>
      <c r="BH38" s="295">
        <f t="shared" si="39"/>
        <v>41260771.269230768</v>
      </c>
      <c r="BI38" s="295">
        <v>0</v>
      </c>
      <c r="BJ38" s="295">
        <v>0</v>
      </c>
      <c r="BK38" s="300">
        <v>0</v>
      </c>
      <c r="BL38" s="300">
        <v>0</v>
      </c>
      <c r="BM38" s="300">
        <v>0</v>
      </c>
      <c r="BN38" s="300">
        <v>0</v>
      </c>
      <c r="BO38" s="300">
        <v>0</v>
      </c>
      <c r="BP38" s="300">
        <v>0</v>
      </c>
      <c r="BQ38" s="300">
        <v>0</v>
      </c>
      <c r="BR38" s="300">
        <v>0</v>
      </c>
      <c r="BS38" s="295">
        <v>0</v>
      </c>
      <c r="BT38" s="295">
        <v>0</v>
      </c>
      <c r="BU38" s="295">
        <v>0</v>
      </c>
      <c r="BV38" s="295">
        <v>0</v>
      </c>
      <c r="BW38" s="300">
        <v>0</v>
      </c>
      <c r="BX38" s="300">
        <v>0</v>
      </c>
      <c r="BY38" s="300">
        <v>0</v>
      </c>
      <c r="BZ38" s="300">
        <v>0</v>
      </c>
      <c r="CA38" s="300">
        <v>0</v>
      </c>
      <c r="CB38" s="300">
        <v>0</v>
      </c>
      <c r="CC38" s="300">
        <v>0</v>
      </c>
      <c r="CD38" s="300">
        <v>0</v>
      </c>
      <c r="CE38" s="300">
        <v>0</v>
      </c>
      <c r="CF38" s="300">
        <v>0</v>
      </c>
      <c r="CG38" s="300">
        <v>0</v>
      </c>
      <c r="CH38" s="300">
        <v>0</v>
      </c>
      <c r="CI38" s="300">
        <v>0</v>
      </c>
      <c r="CJ38" s="300">
        <v>0</v>
      </c>
      <c r="CK38" s="300">
        <v>0</v>
      </c>
      <c r="CL38" s="300">
        <v>0</v>
      </c>
      <c r="CM38" s="300">
        <v>0</v>
      </c>
      <c r="CN38" s="300">
        <v>0</v>
      </c>
      <c r="CO38" s="300">
        <v>0</v>
      </c>
      <c r="CP38" s="300">
        <v>0</v>
      </c>
      <c r="CQ38" s="300">
        <v>0</v>
      </c>
      <c r="CR38" s="300">
        <v>0</v>
      </c>
      <c r="CS38" s="300">
        <v>0</v>
      </c>
      <c r="CT38" s="300">
        <v>0</v>
      </c>
      <c r="CU38" s="300">
        <v>0</v>
      </c>
      <c r="CV38" s="300">
        <v>0</v>
      </c>
      <c r="CW38" s="300">
        <v>0</v>
      </c>
      <c r="CX38" s="300">
        <v>0</v>
      </c>
      <c r="CY38" s="300">
        <v>0</v>
      </c>
      <c r="CZ38" s="300">
        <v>0</v>
      </c>
      <c r="DA38" s="300">
        <v>0</v>
      </c>
      <c r="DB38" s="300">
        <v>0</v>
      </c>
      <c r="DC38" s="300">
        <v>0</v>
      </c>
      <c r="DD38" s="300">
        <v>0</v>
      </c>
      <c r="DE38" s="300">
        <v>0</v>
      </c>
      <c r="DF38" s="300">
        <v>0</v>
      </c>
      <c r="DG38" s="300">
        <v>0</v>
      </c>
      <c r="DH38" s="300">
        <v>0</v>
      </c>
      <c r="DI38" s="300">
        <v>0</v>
      </c>
      <c r="DJ38" s="300">
        <v>0</v>
      </c>
      <c r="DK38" s="300">
        <v>0</v>
      </c>
      <c r="DL38" s="300">
        <v>0</v>
      </c>
      <c r="DM38" s="300">
        <v>0</v>
      </c>
      <c r="DN38" s="300">
        <v>0</v>
      </c>
      <c r="DO38" s="300">
        <v>0</v>
      </c>
      <c r="DP38" s="300">
        <v>0</v>
      </c>
      <c r="DQ38" s="300">
        <v>0</v>
      </c>
      <c r="DR38" s="300">
        <v>0</v>
      </c>
      <c r="DS38" s="300">
        <v>0</v>
      </c>
      <c r="DT38" s="300">
        <v>0</v>
      </c>
      <c r="DU38" s="300">
        <v>0</v>
      </c>
      <c r="DV38" s="300">
        <v>0</v>
      </c>
      <c r="DW38" s="296">
        <f t="shared" si="40"/>
        <v>163836787.24307692</v>
      </c>
      <c r="DX38" s="296">
        <f t="shared" si="40"/>
        <v>100347428.71692309</v>
      </c>
      <c r="DY38" s="296">
        <f t="shared" si="40"/>
        <v>34035919.836923078</v>
      </c>
      <c r="DZ38" s="296">
        <f t="shared" si="40"/>
        <v>30115317.230769232</v>
      </c>
      <c r="EA38" s="302">
        <f>+SUM(DW25:DW38)-B25</f>
        <v>0</v>
      </c>
    </row>
    <row r="39" spans="1:132" ht="45.75" customHeight="1" x14ac:dyDescent="0.2">
      <c r="A39" s="303" t="s">
        <v>2017</v>
      </c>
      <c r="B39" s="290">
        <f t="shared" ref="B39:BM39" si="41">SUM(B40:B40)</f>
        <v>480000000</v>
      </c>
      <c r="C39" s="290">
        <f t="shared" si="41"/>
        <v>300000000</v>
      </c>
      <c r="D39" s="290">
        <f t="shared" si="41"/>
        <v>72834550</v>
      </c>
      <c r="E39" s="290">
        <f t="shared" si="41"/>
        <v>72695990</v>
      </c>
      <c r="F39" s="290">
        <f t="shared" si="41"/>
        <v>72695990</v>
      </c>
      <c r="G39" s="290">
        <f t="shared" si="41"/>
        <v>0</v>
      </c>
      <c r="H39" s="290">
        <f t="shared" si="41"/>
        <v>0</v>
      </c>
      <c r="I39" s="290">
        <f t="shared" si="41"/>
        <v>0</v>
      </c>
      <c r="J39" s="290">
        <f t="shared" si="41"/>
        <v>0</v>
      </c>
      <c r="K39" s="290">
        <f t="shared" si="41"/>
        <v>0</v>
      </c>
      <c r="L39" s="290">
        <f t="shared" si="41"/>
        <v>0</v>
      </c>
      <c r="M39" s="290">
        <f t="shared" si="41"/>
        <v>0</v>
      </c>
      <c r="N39" s="290">
        <f t="shared" si="41"/>
        <v>0</v>
      </c>
      <c r="O39" s="290">
        <f t="shared" si="41"/>
        <v>0</v>
      </c>
      <c r="P39" s="290">
        <f t="shared" si="41"/>
        <v>0</v>
      </c>
      <c r="Q39" s="290">
        <f t="shared" si="41"/>
        <v>0</v>
      </c>
      <c r="R39" s="290">
        <f t="shared" si="41"/>
        <v>0</v>
      </c>
      <c r="S39" s="290">
        <f t="shared" si="41"/>
        <v>0</v>
      </c>
      <c r="T39" s="290">
        <f t="shared" si="41"/>
        <v>0</v>
      </c>
      <c r="U39" s="290">
        <f t="shared" si="41"/>
        <v>0</v>
      </c>
      <c r="V39" s="290">
        <f t="shared" si="41"/>
        <v>0</v>
      </c>
      <c r="W39" s="290">
        <f t="shared" si="41"/>
        <v>0</v>
      </c>
      <c r="X39" s="290">
        <f t="shared" si="41"/>
        <v>0</v>
      </c>
      <c r="Y39" s="290">
        <f t="shared" si="41"/>
        <v>0</v>
      </c>
      <c r="Z39" s="290">
        <f t="shared" si="41"/>
        <v>0</v>
      </c>
      <c r="AA39" s="290">
        <f t="shared" si="41"/>
        <v>0</v>
      </c>
      <c r="AB39" s="290">
        <f t="shared" si="41"/>
        <v>0</v>
      </c>
      <c r="AC39" s="290">
        <f t="shared" si="41"/>
        <v>0</v>
      </c>
      <c r="AD39" s="290">
        <f t="shared" si="41"/>
        <v>0</v>
      </c>
      <c r="AE39" s="290">
        <f t="shared" si="41"/>
        <v>10000000</v>
      </c>
      <c r="AF39" s="290">
        <f t="shared" si="41"/>
        <v>0</v>
      </c>
      <c r="AG39" s="290">
        <f t="shared" si="41"/>
        <v>0</v>
      </c>
      <c r="AH39" s="290">
        <f t="shared" si="41"/>
        <v>0</v>
      </c>
      <c r="AI39" s="290">
        <f t="shared" si="41"/>
        <v>0</v>
      </c>
      <c r="AJ39" s="290">
        <f t="shared" si="41"/>
        <v>0</v>
      </c>
      <c r="AK39" s="290">
        <f t="shared" si="41"/>
        <v>0</v>
      </c>
      <c r="AL39" s="290">
        <f t="shared" si="41"/>
        <v>0</v>
      </c>
      <c r="AM39" s="290">
        <f t="shared" si="41"/>
        <v>0</v>
      </c>
      <c r="AN39" s="290">
        <f>SUM(AN40:AN40)</f>
        <v>0</v>
      </c>
      <c r="AO39" s="290">
        <f>SUM(AO40:AO40)</f>
        <v>0</v>
      </c>
      <c r="AP39" s="290">
        <f t="shared" si="41"/>
        <v>0</v>
      </c>
      <c r="AQ39" s="290">
        <f t="shared" si="41"/>
        <v>0</v>
      </c>
      <c r="AR39" s="290">
        <f t="shared" si="41"/>
        <v>0</v>
      </c>
      <c r="AS39" s="290">
        <f t="shared" si="41"/>
        <v>0</v>
      </c>
      <c r="AT39" s="290">
        <f t="shared" si="41"/>
        <v>0</v>
      </c>
      <c r="AU39" s="290">
        <f t="shared" si="41"/>
        <v>0</v>
      </c>
      <c r="AV39" s="290">
        <f t="shared" si="41"/>
        <v>0</v>
      </c>
      <c r="AW39" s="290">
        <f t="shared" si="41"/>
        <v>0</v>
      </c>
      <c r="AX39" s="290">
        <f t="shared" si="41"/>
        <v>0</v>
      </c>
      <c r="AY39" s="290">
        <f t="shared" si="41"/>
        <v>170000000</v>
      </c>
      <c r="AZ39" s="290">
        <f t="shared" si="41"/>
        <v>0</v>
      </c>
      <c r="BA39" s="290">
        <f t="shared" si="41"/>
        <v>0</v>
      </c>
      <c r="BB39" s="290">
        <f t="shared" si="41"/>
        <v>0</v>
      </c>
      <c r="BC39" s="290">
        <f t="shared" si="41"/>
        <v>0</v>
      </c>
      <c r="BD39" s="290">
        <f t="shared" si="41"/>
        <v>0</v>
      </c>
      <c r="BE39" s="290">
        <f t="shared" si="41"/>
        <v>0</v>
      </c>
      <c r="BF39" s="290">
        <f t="shared" si="41"/>
        <v>0</v>
      </c>
      <c r="BG39" s="290">
        <f t="shared" si="41"/>
        <v>0</v>
      </c>
      <c r="BH39" s="290">
        <f t="shared" si="41"/>
        <v>0</v>
      </c>
      <c r="BI39" s="290">
        <f t="shared" si="41"/>
        <v>0</v>
      </c>
      <c r="BJ39" s="290">
        <f t="shared" si="41"/>
        <v>0</v>
      </c>
      <c r="BK39" s="290">
        <f t="shared" si="41"/>
        <v>0</v>
      </c>
      <c r="BL39" s="290">
        <f t="shared" si="41"/>
        <v>0</v>
      </c>
      <c r="BM39" s="290">
        <f t="shared" si="41"/>
        <v>0</v>
      </c>
      <c r="BN39" s="290">
        <f t="shared" ref="BN39:DV39" si="42">SUM(BN40:BN40)</f>
        <v>0</v>
      </c>
      <c r="BO39" s="290">
        <f t="shared" si="42"/>
        <v>0</v>
      </c>
      <c r="BP39" s="290">
        <f t="shared" si="42"/>
        <v>0</v>
      </c>
      <c r="BQ39" s="290">
        <f t="shared" si="42"/>
        <v>0</v>
      </c>
      <c r="BR39" s="290">
        <f t="shared" si="42"/>
        <v>0</v>
      </c>
      <c r="BS39" s="290">
        <f t="shared" si="42"/>
        <v>0</v>
      </c>
      <c r="BT39" s="290">
        <f t="shared" si="42"/>
        <v>0</v>
      </c>
      <c r="BU39" s="290">
        <f t="shared" si="42"/>
        <v>0</v>
      </c>
      <c r="BV39" s="290">
        <f t="shared" si="42"/>
        <v>0</v>
      </c>
      <c r="BW39" s="290">
        <f t="shared" si="42"/>
        <v>0</v>
      </c>
      <c r="BX39" s="290">
        <f t="shared" si="42"/>
        <v>0</v>
      </c>
      <c r="BY39" s="290">
        <f t="shared" si="42"/>
        <v>0</v>
      </c>
      <c r="BZ39" s="290">
        <f t="shared" si="42"/>
        <v>0</v>
      </c>
      <c r="CA39" s="290">
        <f t="shared" si="42"/>
        <v>0</v>
      </c>
      <c r="CB39" s="290">
        <f t="shared" si="42"/>
        <v>0</v>
      </c>
      <c r="CC39" s="290">
        <f t="shared" si="42"/>
        <v>0</v>
      </c>
      <c r="CD39" s="290">
        <f t="shared" si="42"/>
        <v>0</v>
      </c>
      <c r="CE39" s="290">
        <f t="shared" si="42"/>
        <v>0</v>
      </c>
      <c r="CF39" s="290">
        <f t="shared" si="42"/>
        <v>0</v>
      </c>
      <c r="CG39" s="290">
        <f t="shared" si="42"/>
        <v>0</v>
      </c>
      <c r="CH39" s="290">
        <f t="shared" si="42"/>
        <v>0</v>
      </c>
      <c r="CI39" s="290">
        <f t="shared" si="42"/>
        <v>0</v>
      </c>
      <c r="CJ39" s="290">
        <f t="shared" si="42"/>
        <v>0</v>
      </c>
      <c r="CK39" s="290">
        <f t="shared" si="42"/>
        <v>0</v>
      </c>
      <c r="CL39" s="290">
        <f t="shared" si="42"/>
        <v>0</v>
      </c>
      <c r="CM39" s="290">
        <f t="shared" si="42"/>
        <v>0</v>
      </c>
      <c r="CN39" s="290">
        <f t="shared" si="42"/>
        <v>0</v>
      </c>
      <c r="CO39" s="290">
        <f t="shared" si="42"/>
        <v>0</v>
      </c>
      <c r="CP39" s="290">
        <f t="shared" si="42"/>
        <v>0</v>
      </c>
      <c r="CQ39" s="290">
        <f t="shared" si="42"/>
        <v>0</v>
      </c>
      <c r="CR39" s="290">
        <f t="shared" si="42"/>
        <v>0</v>
      </c>
      <c r="CS39" s="290">
        <f t="shared" si="42"/>
        <v>0</v>
      </c>
      <c r="CT39" s="290">
        <f t="shared" si="42"/>
        <v>0</v>
      </c>
      <c r="CU39" s="290">
        <f t="shared" si="42"/>
        <v>0</v>
      </c>
      <c r="CV39" s="290">
        <f t="shared" si="42"/>
        <v>0</v>
      </c>
      <c r="CW39" s="290">
        <f t="shared" si="42"/>
        <v>0</v>
      </c>
      <c r="CX39" s="290">
        <f t="shared" si="42"/>
        <v>0</v>
      </c>
      <c r="CY39" s="290">
        <f t="shared" si="42"/>
        <v>0</v>
      </c>
      <c r="CZ39" s="290">
        <f t="shared" si="42"/>
        <v>0</v>
      </c>
      <c r="DA39" s="290">
        <f t="shared" si="42"/>
        <v>0</v>
      </c>
      <c r="DB39" s="290">
        <f t="shared" si="42"/>
        <v>0</v>
      </c>
      <c r="DC39" s="290">
        <f t="shared" si="42"/>
        <v>0</v>
      </c>
      <c r="DD39" s="290">
        <f t="shared" si="42"/>
        <v>0</v>
      </c>
      <c r="DE39" s="290">
        <f t="shared" si="42"/>
        <v>0</v>
      </c>
      <c r="DF39" s="290">
        <f t="shared" si="42"/>
        <v>0</v>
      </c>
      <c r="DG39" s="290">
        <f t="shared" si="42"/>
        <v>0</v>
      </c>
      <c r="DH39" s="290">
        <f t="shared" si="42"/>
        <v>0</v>
      </c>
      <c r="DI39" s="290">
        <f t="shared" si="42"/>
        <v>0</v>
      </c>
      <c r="DJ39" s="290">
        <f t="shared" si="42"/>
        <v>0</v>
      </c>
      <c r="DK39" s="290">
        <f t="shared" si="42"/>
        <v>0</v>
      </c>
      <c r="DL39" s="290">
        <f t="shared" si="42"/>
        <v>0</v>
      </c>
      <c r="DM39" s="290">
        <f t="shared" si="42"/>
        <v>0</v>
      </c>
      <c r="DN39" s="290">
        <f t="shared" si="42"/>
        <v>0</v>
      </c>
      <c r="DO39" s="290">
        <f t="shared" si="42"/>
        <v>0</v>
      </c>
      <c r="DP39" s="290">
        <f t="shared" si="42"/>
        <v>0</v>
      </c>
      <c r="DQ39" s="290">
        <f t="shared" si="42"/>
        <v>0</v>
      </c>
      <c r="DR39" s="290">
        <f t="shared" si="42"/>
        <v>0</v>
      </c>
      <c r="DS39" s="290">
        <f t="shared" si="42"/>
        <v>0</v>
      </c>
      <c r="DT39" s="290">
        <f t="shared" si="42"/>
        <v>0</v>
      </c>
      <c r="DU39" s="290">
        <f t="shared" si="42"/>
        <v>0</v>
      </c>
      <c r="DV39" s="290">
        <f t="shared" si="42"/>
        <v>0</v>
      </c>
      <c r="DW39" s="286">
        <f t="shared" si="40"/>
        <v>480000000</v>
      </c>
      <c r="DX39" s="286">
        <f t="shared" si="40"/>
        <v>72834550</v>
      </c>
      <c r="DY39" s="286">
        <f t="shared" si="40"/>
        <v>72695990</v>
      </c>
      <c r="DZ39" s="286">
        <f t="shared" si="40"/>
        <v>72695990</v>
      </c>
      <c r="EA39" s="291">
        <f>+SUM(DW40)-DW39</f>
        <v>0</v>
      </c>
      <c r="EB39" s="292">
        <f>+DW39-B39</f>
        <v>0</v>
      </c>
    </row>
    <row r="40" spans="1:132" ht="45.75" customHeight="1" x14ac:dyDescent="0.2">
      <c r="A40" s="297" t="s">
        <v>2018</v>
      </c>
      <c r="B40" s="299">
        <f>DW39</f>
        <v>480000000</v>
      </c>
      <c r="C40" s="299">
        <v>300000000</v>
      </c>
      <c r="D40" s="299">
        <v>72834550</v>
      </c>
      <c r="E40" s="299">
        <v>72695990</v>
      </c>
      <c r="F40" s="299">
        <v>72695990</v>
      </c>
      <c r="G40" s="299">
        <v>0</v>
      </c>
      <c r="H40" s="299">
        <v>0</v>
      </c>
      <c r="I40" s="299">
        <v>0</v>
      </c>
      <c r="J40" s="299">
        <v>0</v>
      </c>
      <c r="K40" s="299">
        <v>0</v>
      </c>
      <c r="L40" s="299">
        <v>0</v>
      </c>
      <c r="M40" s="299">
        <v>0</v>
      </c>
      <c r="N40" s="299">
        <v>0</v>
      </c>
      <c r="O40" s="299">
        <v>0</v>
      </c>
      <c r="P40" s="299">
        <v>0</v>
      </c>
      <c r="Q40" s="299">
        <v>0</v>
      </c>
      <c r="R40" s="299">
        <v>0</v>
      </c>
      <c r="S40" s="299">
        <v>0</v>
      </c>
      <c r="T40" s="299">
        <v>0</v>
      </c>
      <c r="U40" s="299">
        <v>0</v>
      </c>
      <c r="V40" s="299">
        <v>0</v>
      </c>
      <c r="W40" s="299">
        <v>0</v>
      </c>
      <c r="X40" s="299">
        <v>0</v>
      </c>
      <c r="Y40" s="299">
        <v>0</v>
      </c>
      <c r="Z40" s="299">
        <v>0</v>
      </c>
      <c r="AA40" s="299">
        <v>0</v>
      </c>
      <c r="AB40" s="299">
        <v>0</v>
      </c>
      <c r="AC40" s="299">
        <v>0</v>
      </c>
      <c r="AD40" s="299">
        <v>0</v>
      </c>
      <c r="AE40" s="299">
        <v>10000000</v>
      </c>
      <c r="AF40" s="299">
        <v>0</v>
      </c>
      <c r="AG40" s="299">
        <v>0</v>
      </c>
      <c r="AH40" s="299">
        <v>0</v>
      </c>
      <c r="AI40" s="299">
        <v>0</v>
      </c>
      <c r="AJ40" s="299">
        <v>0</v>
      </c>
      <c r="AK40" s="299">
        <v>0</v>
      </c>
      <c r="AL40" s="299">
        <v>0</v>
      </c>
      <c r="AM40" s="299"/>
      <c r="AN40" s="299"/>
      <c r="AO40" s="299"/>
      <c r="AP40" s="299"/>
      <c r="AQ40" s="300">
        <v>0</v>
      </c>
      <c r="AR40" s="300">
        <v>0</v>
      </c>
      <c r="AS40" s="300">
        <v>0</v>
      </c>
      <c r="AT40" s="300">
        <v>0</v>
      </c>
      <c r="AU40" s="300">
        <v>0</v>
      </c>
      <c r="AV40" s="300">
        <v>0</v>
      </c>
      <c r="AW40" s="300">
        <v>0</v>
      </c>
      <c r="AX40" s="300">
        <v>0</v>
      </c>
      <c r="AY40" s="300">
        <v>170000000</v>
      </c>
      <c r="AZ40" s="300">
        <v>0</v>
      </c>
      <c r="BA40" s="300">
        <v>0</v>
      </c>
      <c r="BB40" s="300">
        <v>0</v>
      </c>
      <c r="BC40" s="300">
        <v>0</v>
      </c>
      <c r="BD40" s="300">
        <v>0</v>
      </c>
      <c r="BE40" s="300">
        <v>0</v>
      </c>
      <c r="BF40" s="300">
        <v>0</v>
      </c>
      <c r="BG40" s="300">
        <v>0</v>
      </c>
      <c r="BH40" s="300">
        <v>0</v>
      </c>
      <c r="BI40" s="300">
        <v>0</v>
      </c>
      <c r="BJ40" s="300">
        <v>0</v>
      </c>
      <c r="BK40" s="300">
        <v>0</v>
      </c>
      <c r="BL40" s="300">
        <v>0</v>
      </c>
      <c r="BM40" s="300">
        <v>0</v>
      </c>
      <c r="BN40" s="300">
        <v>0</v>
      </c>
      <c r="BO40" s="300">
        <v>0</v>
      </c>
      <c r="BP40" s="300">
        <v>0</v>
      </c>
      <c r="BQ40" s="300">
        <v>0</v>
      </c>
      <c r="BR40" s="300">
        <v>0</v>
      </c>
      <c r="BS40" s="300">
        <v>0</v>
      </c>
      <c r="BT40" s="300">
        <v>0</v>
      </c>
      <c r="BU40" s="300">
        <v>0</v>
      </c>
      <c r="BV40" s="300">
        <v>0</v>
      </c>
      <c r="BW40" s="300">
        <v>0</v>
      </c>
      <c r="BX40" s="300">
        <v>0</v>
      </c>
      <c r="BY40" s="300">
        <v>0</v>
      </c>
      <c r="BZ40" s="300">
        <v>0</v>
      </c>
      <c r="CA40" s="300">
        <v>0</v>
      </c>
      <c r="CB40" s="300">
        <v>0</v>
      </c>
      <c r="CC40" s="300">
        <v>0</v>
      </c>
      <c r="CD40" s="300">
        <v>0</v>
      </c>
      <c r="CE40" s="300">
        <v>0</v>
      </c>
      <c r="CF40" s="300">
        <v>0</v>
      </c>
      <c r="CG40" s="300">
        <v>0</v>
      </c>
      <c r="CH40" s="300">
        <v>0</v>
      </c>
      <c r="CI40" s="300">
        <v>0</v>
      </c>
      <c r="CJ40" s="300">
        <v>0</v>
      </c>
      <c r="CK40" s="300">
        <v>0</v>
      </c>
      <c r="CL40" s="300">
        <v>0</v>
      </c>
      <c r="CM40" s="300">
        <v>0</v>
      </c>
      <c r="CN40" s="300">
        <v>0</v>
      </c>
      <c r="CO40" s="300">
        <v>0</v>
      </c>
      <c r="CP40" s="300">
        <v>0</v>
      </c>
      <c r="CQ40" s="300">
        <v>0</v>
      </c>
      <c r="CR40" s="300">
        <v>0</v>
      </c>
      <c r="CS40" s="300">
        <v>0</v>
      </c>
      <c r="CT40" s="300">
        <v>0</v>
      </c>
      <c r="CU40" s="300">
        <v>0</v>
      </c>
      <c r="CV40" s="300">
        <v>0</v>
      </c>
      <c r="CW40" s="300">
        <v>0</v>
      </c>
      <c r="CX40" s="300">
        <v>0</v>
      </c>
      <c r="CY40" s="300">
        <v>0</v>
      </c>
      <c r="CZ40" s="300">
        <v>0</v>
      </c>
      <c r="DA40" s="300">
        <v>0</v>
      </c>
      <c r="DB40" s="300">
        <v>0</v>
      </c>
      <c r="DC40" s="300">
        <v>0</v>
      </c>
      <c r="DD40" s="300">
        <v>0</v>
      </c>
      <c r="DE40" s="300">
        <v>0</v>
      </c>
      <c r="DF40" s="300">
        <v>0</v>
      </c>
      <c r="DG40" s="300">
        <v>0</v>
      </c>
      <c r="DH40" s="300">
        <v>0</v>
      </c>
      <c r="DI40" s="300">
        <v>0</v>
      </c>
      <c r="DJ40" s="300">
        <v>0</v>
      </c>
      <c r="DK40" s="300">
        <v>0</v>
      </c>
      <c r="DL40" s="300">
        <v>0</v>
      </c>
      <c r="DM40" s="300">
        <v>0</v>
      </c>
      <c r="DN40" s="300">
        <v>0</v>
      </c>
      <c r="DO40" s="300">
        <v>0</v>
      </c>
      <c r="DP40" s="300">
        <v>0</v>
      </c>
      <c r="DQ40" s="300">
        <v>0</v>
      </c>
      <c r="DR40" s="300">
        <v>0</v>
      </c>
      <c r="DS40" s="300">
        <v>0</v>
      </c>
      <c r="DT40" s="300">
        <v>0</v>
      </c>
      <c r="DU40" s="300">
        <v>0</v>
      </c>
      <c r="DV40" s="300">
        <v>0</v>
      </c>
      <c r="DW40" s="296">
        <f t="shared" si="40"/>
        <v>480000000</v>
      </c>
      <c r="DX40" s="296">
        <f t="shared" si="40"/>
        <v>72834550</v>
      </c>
      <c r="DY40" s="296">
        <f t="shared" si="40"/>
        <v>72695990</v>
      </c>
      <c r="DZ40" s="296">
        <f t="shared" si="40"/>
        <v>72695990</v>
      </c>
      <c r="EA40" s="302">
        <f>+DW40-B40</f>
        <v>0</v>
      </c>
    </row>
    <row r="41" spans="1:132" ht="45.75" customHeight="1" x14ac:dyDescent="0.2">
      <c r="A41" s="284" t="s">
        <v>2019</v>
      </c>
      <c r="B41" s="285">
        <f>+B42+B47</f>
        <v>42854790422.139999</v>
      </c>
      <c r="C41" s="285">
        <f t="shared" ref="C41:DV41" si="43">+C42+C47</f>
        <v>2320000000</v>
      </c>
      <c r="D41" s="285">
        <f t="shared" si="43"/>
        <v>1941068149.9400001</v>
      </c>
      <c r="E41" s="285">
        <f t="shared" si="43"/>
        <v>521417571.21999997</v>
      </c>
      <c r="F41" s="285">
        <f t="shared" si="43"/>
        <v>499541206.27999997</v>
      </c>
      <c r="G41" s="285">
        <f t="shared" si="43"/>
        <v>2603000000</v>
      </c>
      <c r="H41" s="285">
        <f t="shared" si="43"/>
        <v>2378120954</v>
      </c>
      <c r="I41" s="285">
        <f t="shared" si="43"/>
        <v>0</v>
      </c>
      <c r="J41" s="285">
        <f t="shared" si="43"/>
        <v>0</v>
      </c>
      <c r="K41" s="285">
        <f t="shared" si="43"/>
        <v>0</v>
      </c>
      <c r="L41" s="285">
        <f t="shared" si="43"/>
        <v>0</v>
      </c>
      <c r="M41" s="285">
        <f t="shared" si="43"/>
        <v>0</v>
      </c>
      <c r="N41" s="285">
        <f t="shared" si="43"/>
        <v>0</v>
      </c>
      <c r="O41" s="285">
        <f t="shared" si="43"/>
        <v>0</v>
      </c>
      <c r="P41" s="285">
        <f t="shared" si="43"/>
        <v>0</v>
      </c>
      <c r="Q41" s="285">
        <f t="shared" si="43"/>
        <v>0</v>
      </c>
      <c r="R41" s="285">
        <f t="shared" si="43"/>
        <v>0</v>
      </c>
      <c r="S41" s="285">
        <f t="shared" si="43"/>
        <v>0</v>
      </c>
      <c r="T41" s="285">
        <f t="shared" si="43"/>
        <v>0</v>
      </c>
      <c r="U41" s="285">
        <f t="shared" si="43"/>
        <v>0</v>
      </c>
      <c r="V41" s="285">
        <f t="shared" si="43"/>
        <v>0</v>
      </c>
      <c r="W41" s="285">
        <f t="shared" si="43"/>
        <v>0</v>
      </c>
      <c r="X41" s="285">
        <f t="shared" si="43"/>
        <v>0</v>
      </c>
      <c r="Y41" s="285">
        <f t="shared" si="43"/>
        <v>0</v>
      </c>
      <c r="Z41" s="285">
        <f t="shared" si="43"/>
        <v>0</v>
      </c>
      <c r="AA41" s="285">
        <f t="shared" si="43"/>
        <v>0</v>
      </c>
      <c r="AB41" s="285">
        <f t="shared" si="43"/>
        <v>0</v>
      </c>
      <c r="AC41" s="285">
        <f t="shared" si="43"/>
        <v>0</v>
      </c>
      <c r="AD41" s="285">
        <f t="shared" si="43"/>
        <v>0</v>
      </c>
      <c r="AE41" s="285">
        <f t="shared" si="43"/>
        <v>0</v>
      </c>
      <c r="AF41" s="285">
        <f t="shared" si="43"/>
        <v>0</v>
      </c>
      <c r="AG41" s="285">
        <f t="shared" si="43"/>
        <v>0</v>
      </c>
      <c r="AH41" s="285">
        <f t="shared" si="43"/>
        <v>0</v>
      </c>
      <c r="AI41" s="285">
        <f t="shared" si="43"/>
        <v>0</v>
      </c>
      <c r="AJ41" s="285">
        <f t="shared" si="43"/>
        <v>0</v>
      </c>
      <c r="AK41" s="285">
        <f t="shared" si="43"/>
        <v>0</v>
      </c>
      <c r="AL41" s="285">
        <f t="shared" si="43"/>
        <v>0</v>
      </c>
      <c r="AM41" s="285">
        <f t="shared" si="43"/>
        <v>0</v>
      </c>
      <c r="AN41" s="285">
        <f t="shared" si="43"/>
        <v>0</v>
      </c>
      <c r="AO41" s="285">
        <f t="shared" si="43"/>
        <v>0</v>
      </c>
      <c r="AP41" s="285">
        <f t="shared" si="43"/>
        <v>0</v>
      </c>
      <c r="AQ41" s="285">
        <f t="shared" si="43"/>
        <v>0</v>
      </c>
      <c r="AR41" s="285">
        <f t="shared" si="43"/>
        <v>0</v>
      </c>
      <c r="AS41" s="285">
        <f t="shared" si="43"/>
        <v>0</v>
      </c>
      <c r="AT41" s="285">
        <f t="shared" si="43"/>
        <v>0</v>
      </c>
      <c r="AU41" s="285">
        <f t="shared" si="43"/>
        <v>0</v>
      </c>
      <c r="AV41" s="285">
        <f t="shared" si="43"/>
        <v>0</v>
      </c>
      <c r="AW41" s="285">
        <f t="shared" si="43"/>
        <v>0</v>
      </c>
      <c r="AX41" s="285">
        <f t="shared" si="43"/>
        <v>0</v>
      </c>
      <c r="AY41" s="285">
        <f t="shared" si="43"/>
        <v>0</v>
      </c>
      <c r="AZ41" s="285">
        <f t="shared" si="43"/>
        <v>0</v>
      </c>
      <c r="BA41" s="285">
        <f t="shared" si="43"/>
        <v>0</v>
      </c>
      <c r="BB41" s="285">
        <f t="shared" si="43"/>
        <v>0</v>
      </c>
      <c r="BC41" s="285">
        <f t="shared" si="43"/>
        <v>37851790422.139999</v>
      </c>
      <c r="BD41" s="285">
        <f t="shared" si="43"/>
        <v>31389315290.139999</v>
      </c>
      <c r="BE41" s="285">
        <f t="shared" si="43"/>
        <v>15022424575.6</v>
      </c>
      <c r="BF41" s="285">
        <f t="shared" si="43"/>
        <v>15022424575.6</v>
      </c>
      <c r="BG41" s="285">
        <f t="shared" si="43"/>
        <v>80000000</v>
      </c>
      <c r="BH41" s="285">
        <f t="shared" si="43"/>
        <v>80000000</v>
      </c>
      <c r="BI41" s="285">
        <f t="shared" si="43"/>
        <v>0</v>
      </c>
      <c r="BJ41" s="285">
        <f t="shared" si="43"/>
        <v>0</v>
      </c>
      <c r="BK41" s="285">
        <f t="shared" si="43"/>
        <v>0</v>
      </c>
      <c r="BL41" s="285">
        <f t="shared" si="43"/>
        <v>0</v>
      </c>
      <c r="BM41" s="285">
        <f t="shared" si="43"/>
        <v>0</v>
      </c>
      <c r="BN41" s="285">
        <f t="shared" si="43"/>
        <v>0</v>
      </c>
      <c r="BO41" s="285">
        <f t="shared" si="43"/>
        <v>0</v>
      </c>
      <c r="BP41" s="285">
        <f t="shared" si="43"/>
        <v>0</v>
      </c>
      <c r="BQ41" s="285">
        <f t="shared" si="43"/>
        <v>0</v>
      </c>
      <c r="BR41" s="285">
        <f t="shared" si="43"/>
        <v>0</v>
      </c>
      <c r="BS41" s="285">
        <f t="shared" si="43"/>
        <v>0</v>
      </c>
      <c r="BT41" s="285">
        <f t="shared" si="43"/>
        <v>0</v>
      </c>
      <c r="BU41" s="285">
        <f t="shared" si="43"/>
        <v>0</v>
      </c>
      <c r="BV41" s="285">
        <f t="shared" si="43"/>
        <v>0</v>
      </c>
      <c r="BW41" s="285">
        <f t="shared" si="43"/>
        <v>0</v>
      </c>
      <c r="BX41" s="285">
        <f t="shared" si="43"/>
        <v>0</v>
      </c>
      <c r="BY41" s="285">
        <f t="shared" si="43"/>
        <v>0</v>
      </c>
      <c r="BZ41" s="285">
        <f t="shared" si="43"/>
        <v>0</v>
      </c>
      <c r="CA41" s="285">
        <f t="shared" si="43"/>
        <v>0</v>
      </c>
      <c r="CB41" s="285">
        <f t="shared" si="43"/>
        <v>0</v>
      </c>
      <c r="CC41" s="285">
        <f t="shared" si="43"/>
        <v>0</v>
      </c>
      <c r="CD41" s="285">
        <f t="shared" si="43"/>
        <v>0</v>
      </c>
      <c r="CE41" s="285">
        <f t="shared" si="43"/>
        <v>0</v>
      </c>
      <c r="CF41" s="285">
        <f t="shared" si="43"/>
        <v>0</v>
      </c>
      <c r="CG41" s="285">
        <f t="shared" si="43"/>
        <v>0</v>
      </c>
      <c r="CH41" s="285">
        <f t="shared" si="43"/>
        <v>0</v>
      </c>
      <c r="CI41" s="285">
        <f t="shared" si="43"/>
        <v>0</v>
      </c>
      <c r="CJ41" s="285">
        <f t="shared" si="43"/>
        <v>0</v>
      </c>
      <c r="CK41" s="285">
        <f t="shared" si="43"/>
        <v>0</v>
      </c>
      <c r="CL41" s="285">
        <f t="shared" si="43"/>
        <v>0</v>
      </c>
      <c r="CM41" s="285">
        <f t="shared" si="43"/>
        <v>0</v>
      </c>
      <c r="CN41" s="285">
        <f t="shared" si="43"/>
        <v>0</v>
      </c>
      <c r="CO41" s="285">
        <f t="shared" si="43"/>
        <v>0</v>
      </c>
      <c r="CP41" s="285">
        <f t="shared" si="43"/>
        <v>0</v>
      </c>
      <c r="CQ41" s="285">
        <f t="shared" si="43"/>
        <v>0</v>
      </c>
      <c r="CR41" s="285">
        <f t="shared" si="43"/>
        <v>0</v>
      </c>
      <c r="CS41" s="285">
        <f t="shared" si="43"/>
        <v>0</v>
      </c>
      <c r="CT41" s="285">
        <f t="shared" si="43"/>
        <v>0</v>
      </c>
      <c r="CU41" s="285">
        <f t="shared" si="43"/>
        <v>0</v>
      </c>
      <c r="CV41" s="285">
        <f t="shared" si="43"/>
        <v>0</v>
      </c>
      <c r="CW41" s="285">
        <f t="shared" si="43"/>
        <v>0</v>
      </c>
      <c r="CX41" s="285">
        <f t="shared" si="43"/>
        <v>0</v>
      </c>
      <c r="CY41" s="285">
        <f t="shared" si="43"/>
        <v>0</v>
      </c>
      <c r="CZ41" s="285">
        <f t="shared" si="43"/>
        <v>0</v>
      </c>
      <c r="DA41" s="285">
        <f t="shared" si="43"/>
        <v>0</v>
      </c>
      <c r="DB41" s="285">
        <f t="shared" si="43"/>
        <v>0</v>
      </c>
      <c r="DC41" s="285">
        <f t="shared" si="43"/>
        <v>0</v>
      </c>
      <c r="DD41" s="285">
        <f t="shared" si="43"/>
        <v>0</v>
      </c>
      <c r="DE41" s="285">
        <f t="shared" si="43"/>
        <v>0</v>
      </c>
      <c r="DF41" s="285">
        <f t="shared" si="43"/>
        <v>0</v>
      </c>
      <c r="DG41" s="285">
        <f t="shared" si="43"/>
        <v>0</v>
      </c>
      <c r="DH41" s="285">
        <f t="shared" si="43"/>
        <v>0</v>
      </c>
      <c r="DI41" s="285">
        <f t="shared" si="43"/>
        <v>0</v>
      </c>
      <c r="DJ41" s="285">
        <f t="shared" si="43"/>
        <v>0</v>
      </c>
      <c r="DK41" s="285">
        <f t="shared" si="43"/>
        <v>0</v>
      </c>
      <c r="DL41" s="285">
        <f t="shared" si="43"/>
        <v>0</v>
      </c>
      <c r="DM41" s="285">
        <f t="shared" si="43"/>
        <v>0</v>
      </c>
      <c r="DN41" s="285">
        <f t="shared" si="43"/>
        <v>0</v>
      </c>
      <c r="DO41" s="285">
        <f t="shared" si="43"/>
        <v>0</v>
      </c>
      <c r="DP41" s="285">
        <f t="shared" si="43"/>
        <v>0</v>
      </c>
      <c r="DQ41" s="285">
        <f t="shared" si="43"/>
        <v>0</v>
      </c>
      <c r="DR41" s="285">
        <f t="shared" si="43"/>
        <v>0</v>
      </c>
      <c r="DS41" s="285">
        <f t="shared" si="43"/>
        <v>0</v>
      </c>
      <c r="DT41" s="285">
        <f t="shared" si="43"/>
        <v>0</v>
      </c>
      <c r="DU41" s="285">
        <f t="shared" si="43"/>
        <v>0</v>
      </c>
      <c r="DV41" s="285">
        <f t="shared" si="43"/>
        <v>0</v>
      </c>
      <c r="DW41" s="286">
        <f t="shared" si="40"/>
        <v>42854790422.139999</v>
      </c>
      <c r="DX41" s="286">
        <f t="shared" si="40"/>
        <v>35788504394.080002</v>
      </c>
      <c r="DY41" s="286">
        <f t="shared" si="40"/>
        <v>15543842146.82</v>
      </c>
      <c r="DZ41" s="286">
        <f t="shared" si="40"/>
        <v>15521965781.880001</v>
      </c>
      <c r="EA41" s="287"/>
    </row>
    <row r="42" spans="1:132" ht="45.75" customHeight="1" x14ac:dyDescent="0.2">
      <c r="A42" s="303" t="s">
        <v>2020</v>
      </c>
      <c r="B42" s="290">
        <f>SUM(B43)</f>
        <v>503000000</v>
      </c>
      <c r="C42" s="290">
        <f t="shared" ref="C42:DV42" si="44">SUM(C43:C46)</f>
        <v>400000000</v>
      </c>
      <c r="D42" s="290">
        <f t="shared" si="44"/>
        <v>233530797</v>
      </c>
      <c r="E42" s="290">
        <f t="shared" si="44"/>
        <v>157806911.88</v>
      </c>
      <c r="F42" s="290">
        <f t="shared" si="44"/>
        <v>146394259.88</v>
      </c>
      <c r="G42" s="290">
        <f t="shared" si="44"/>
        <v>103000000</v>
      </c>
      <c r="H42" s="290">
        <f t="shared" si="44"/>
        <v>79321501</v>
      </c>
      <c r="I42" s="290">
        <f t="shared" si="44"/>
        <v>0</v>
      </c>
      <c r="J42" s="290">
        <f t="shared" si="44"/>
        <v>0</v>
      </c>
      <c r="K42" s="290">
        <f t="shared" si="44"/>
        <v>0</v>
      </c>
      <c r="L42" s="290">
        <f t="shared" si="44"/>
        <v>0</v>
      </c>
      <c r="M42" s="290">
        <f t="shared" si="44"/>
        <v>0</v>
      </c>
      <c r="N42" s="290">
        <f t="shared" si="44"/>
        <v>0</v>
      </c>
      <c r="O42" s="290">
        <f t="shared" si="44"/>
        <v>0</v>
      </c>
      <c r="P42" s="290">
        <f t="shared" si="44"/>
        <v>0</v>
      </c>
      <c r="Q42" s="290">
        <f t="shared" si="44"/>
        <v>0</v>
      </c>
      <c r="R42" s="290">
        <f t="shared" si="44"/>
        <v>0</v>
      </c>
      <c r="S42" s="290">
        <f t="shared" si="44"/>
        <v>0</v>
      </c>
      <c r="T42" s="290">
        <f t="shared" si="44"/>
        <v>0</v>
      </c>
      <c r="U42" s="290">
        <f t="shared" si="44"/>
        <v>0</v>
      </c>
      <c r="V42" s="290">
        <f t="shared" si="44"/>
        <v>0</v>
      </c>
      <c r="W42" s="290">
        <f t="shared" si="44"/>
        <v>0</v>
      </c>
      <c r="X42" s="290">
        <f t="shared" si="44"/>
        <v>0</v>
      </c>
      <c r="Y42" s="290">
        <f t="shared" si="44"/>
        <v>0</v>
      </c>
      <c r="Z42" s="290">
        <f t="shared" si="44"/>
        <v>0</v>
      </c>
      <c r="AA42" s="290">
        <f t="shared" si="44"/>
        <v>0</v>
      </c>
      <c r="AB42" s="290">
        <f t="shared" si="44"/>
        <v>0</v>
      </c>
      <c r="AC42" s="290">
        <f t="shared" si="44"/>
        <v>0</v>
      </c>
      <c r="AD42" s="290">
        <f t="shared" si="44"/>
        <v>0</v>
      </c>
      <c r="AE42" s="290">
        <f t="shared" si="44"/>
        <v>0</v>
      </c>
      <c r="AF42" s="290">
        <f t="shared" si="44"/>
        <v>0</v>
      </c>
      <c r="AG42" s="290">
        <f t="shared" si="44"/>
        <v>0</v>
      </c>
      <c r="AH42" s="290">
        <f t="shared" si="44"/>
        <v>0</v>
      </c>
      <c r="AI42" s="290">
        <f t="shared" si="44"/>
        <v>0</v>
      </c>
      <c r="AJ42" s="290">
        <f t="shared" si="44"/>
        <v>0</v>
      </c>
      <c r="AK42" s="290">
        <f t="shared" si="44"/>
        <v>0</v>
      </c>
      <c r="AL42" s="290">
        <f t="shared" si="44"/>
        <v>0</v>
      </c>
      <c r="AM42" s="290">
        <f t="shared" si="44"/>
        <v>0</v>
      </c>
      <c r="AN42" s="290">
        <f t="shared" si="44"/>
        <v>0</v>
      </c>
      <c r="AO42" s="290">
        <f t="shared" si="44"/>
        <v>0</v>
      </c>
      <c r="AP42" s="290">
        <f t="shared" si="44"/>
        <v>0</v>
      </c>
      <c r="AQ42" s="290">
        <f t="shared" si="44"/>
        <v>0</v>
      </c>
      <c r="AR42" s="290">
        <f t="shared" si="44"/>
        <v>0</v>
      </c>
      <c r="AS42" s="290">
        <f t="shared" si="44"/>
        <v>0</v>
      </c>
      <c r="AT42" s="290">
        <f t="shared" si="44"/>
        <v>0</v>
      </c>
      <c r="AU42" s="290">
        <f t="shared" si="44"/>
        <v>0</v>
      </c>
      <c r="AV42" s="290">
        <f t="shared" si="44"/>
        <v>0</v>
      </c>
      <c r="AW42" s="290">
        <f t="shared" si="44"/>
        <v>0</v>
      </c>
      <c r="AX42" s="290">
        <f t="shared" si="44"/>
        <v>0</v>
      </c>
      <c r="AY42" s="290">
        <f t="shared" si="44"/>
        <v>0</v>
      </c>
      <c r="AZ42" s="290">
        <f t="shared" si="44"/>
        <v>0</v>
      </c>
      <c r="BA42" s="290">
        <f t="shared" si="44"/>
        <v>0</v>
      </c>
      <c r="BB42" s="290">
        <f t="shared" si="44"/>
        <v>0</v>
      </c>
      <c r="BC42" s="290">
        <f t="shared" si="44"/>
        <v>0</v>
      </c>
      <c r="BD42" s="290">
        <f t="shared" si="44"/>
        <v>0</v>
      </c>
      <c r="BE42" s="290">
        <f t="shared" si="44"/>
        <v>0</v>
      </c>
      <c r="BF42" s="290">
        <f t="shared" si="44"/>
        <v>0</v>
      </c>
      <c r="BG42" s="290">
        <f t="shared" si="44"/>
        <v>0</v>
      </c>
      <c r="BH42" s="290">
        <f t="shared" si="44"/>
        <v>0</v>
      </c>
      <c r="BI42" s="290">
        <f t="shared" si="44"/>
        <v>0</v>
      </c>
      <c r="BJ42" s="290">
        <f t="shared" si="44"/>
        <v>0</v>
      </c>
      <c r="BK42" s="290">
        <f t="shared" si="44"/>
        <v>0</v>
      </c>
      <c r="BL42" s="290">
        <f t="shared" si="44"/>
        <v>0</v>
      </c>
      <c r="BM42" s="290">
        <f t="shared" si="44"/>
        <v>0</v>
      </c>
      <c r="BN42" s="290">
        <f t="shared" si="44"/>
        <v>0</v>
      </c>
      <c r="BO42" s="290">
        <f t="shared" si="44"/>
        <v>0</v>
      </c>
      <c r="BP42" s="290">
        <f t="shared" si="44"/>
        <v>0</v>
      </c>
      <c r="BQ42" s="290">
        <f t="shared" si="44"/>
        <v>0</v>
      </c>
      <c r="BR42" s="290">
        <f t="shared" si="44"/>
        <v>0</v>
      </c>
      <c r="BS42" s="290">
        <f t="shared" si="44"/>
        <v>0</v>
      </c>
      <c r="BT42" s="290">
        <f t="shared" si="44"/>
        <v>0</v>
      </c>
      <c r="BU42" s="290">
        <f t="shared" si="44"/>
        <v>0</v>
      </c>
      <c r="BV42" s="290">
        <f t="shared" si="44"/>
        <v>0</v>
      </c>
      <c r="BW42" s="290">
        <f t="shared" si="44"/>
        <v>0</v>
      </c>
      <c r="BX42" s="290">
        <f t="shared" si="44"/>
        <v>0</v>
      </c>
      <c r="BY42" s="290">
        <f t="shared" si="44"/>
        <v>0</v>
      </c>
      <c r="BZ42" s="290">
        <f t="shared" si="44"/>
        <v>0</v>
      </c>
      <c r="CA42" s="290">
        <f t="shared" si="44"/>
        <v>0</v>
      </c>
      <c r="CB42" s="290">
        <f t="shared" si="44"/>
        <v>0</v>
      </c>
      <c r="CC42" s="290">
        <f t="shared" si="44"/>
        <v>0</v>
      </c>
      <c r="CD42" s="290">
        <f t="shared" si="44"/>
        <v>0</v>
      </c>
      <c r="CE42" s="290">
        <f t="shared" si="44"/>
        <v>0</v>
      </c>
      <c r="CF42" s="290">
        <f t="shared" si="44"/>
        <v>0</v>
      </c>
      <c r="CG42" s="290">
        <f t="shared" si="44"/>
        <v>0</v>
      </c>
      <c r="CH42" s="290">
        <f t="shared" si="44"/>
        <v>0</v>
      </c>
      <c r="CI42" s="290">
        <f t="shared" si="44"/>
        <v>0</v>
      </c>
      <c r="CJ42" s="290">
        <f t="shared" si="44"/>
        <v>0</v>
      </c>
      <c r="CK42" s="290">
        <f t="shared" si="44"/>
        <v>0</v>
      </c>
      <c r="CL42" s="290">
        <f t="shared" si="44"/>
        <v>0</v>
      </c>
      <c r="CM42" s="290">
        <f t="shared" ref="CM42:DR42" si="45">SUM(CM43:CM46)</f>
        <v>0</v>
      </c>
      <c r="CN42" s="290">
        <f t="shared" si="45"/>
        <v>0</v>
      </c>
      <c r="CO42" s="290">
        <f t="shared" si="45"/>
        <v>0</v>
      </c>
      <c r="CP42" s="290">
        <f t="shared" si="45"/>
        <v>0</v>
      </c>
      <c r="CQ42" s="290">
        <f t="shared" si="45"/>
        <v>0</v>
      </c>
      <c r="CR42" s="290">
        <f t="shared" si="45"/>
        <v>0</v>
      </c>
      <c r="CS42" s="290">
        <f t="shared" si="45"/>
        <v>0</v>
      </c>
      <c r="CT42" s="290">
        <f t="shared" si="45"/>
        <v>0</v>
      </c>
      <c r="CU42" s="290">
        <f t="shared" si="45"/>
        <v>0</v>
      </c>
      <c r="CV42" s="290">
        <f t="shared" si="45"/>
        <v>0</v>
      </c>
      <c r="CW42" s="290">
        <f t="shared" si="45"/>
        <v>0</v>
      </c>
      <c r="CX42" s="290">
        <f t="shared" si="45"/>
        <v>0</v>
      </c>
      <c r="CY42" s="290">
        <f t="shared" si="45"/>
        <v>0</v>
      </c>
      <c r="CZ42" s="290">
        <f t="shared" si="45"/>
        <v>0</v>
      </c>
      <c r="DA42" s="290">
        <f t="shared" si="45"/>
        <v>0</v>
      </c>
      <c r="DB42" s="290">
        <f t="shared" si="45"/>
        <v>0</v>
      </c>
      <c r="DC42" s="290">
        <f t="shared" si="45"/>
        <v>0</v>
      </c>
      <c r="DD42" s="290">
        <f t="shared" si="45"/>
        <v>0</v>
      </c>
      <c r="DE42" s="290">
        <f t="shared" si="45"/>
        <v>0</v>
      </c>
      <c r="DF42" s="290">
        <f t="shared" si="45"/>
        <v>0</v>
      </c>
      <c r="DG42" s="290">
        <f t="shared" si="45"/>
        <v>0</v>
      </c>
      <c r="DH42" s="290">
        <f t="shared" si="45"/>
        <v>0</v>
      </c>
      <c r="DI42" s="290">
        <f t="shared" si="45"/>
        <v>0</v>
      </c>
      <c r="DJ42" s="290">
        <f t="shared" si="45"/>
        <v>0</v>
      </c>
      <c r="DK42" s="290">
        <f t="shared" si="45"/>
        <v>0</v>
      </c>
      <c r="DL42" s="290">
        <f t="shared" si="45"/>
        <v>0</v>
      </c>
      <c r="DM42" s="290">
        <f t="shared" si="45"/>
        <v>0</v>
      </c>
      <c r="DN42" s="290">
        <f t="shared" si="45"/>
        <v>0</v>
      </c>
      <c r="DO42" s="290">
        <f t="shared" si="45"/>
        <v>0</v>
      </c>
      <c r="DP42" s="290">
        <f t="shared" si="45"/>
        <v>0</v>
      </c>
      <c r="DQ42" s="290">
        <f t="shared" si="45"/>
        <v>0</v>
      </c>
      <c r="DR42" s="290">
        <f t="shared" si="45"/>
        <v>0</v>
      </c>
      <c r="DS42" s="290">
        <f t="shared" si="44"/>
        <v>0</v>
      </c>
      <c r="DT42" s="290">
        <f t="shared" si="44"/>
        <v>0</v>
      </c>
      <c r="DU42" s="290">
        <f t="shared" si="44"/>
        <v>0</v>
      </c>
      <c r="DV42" s="290">
        <f t="shared" si="44"/>
        <v>0</v>
      </c>
      <c r="DW42" s="286">
        <f t="shared" si="40"/>
        <v>503000000</v>
      </c>
      <c r="DX42" s="286">
        <f t="shared" si="40"/>
        <v>312852298</v>
      </c>
      <c r="DY42" s="286">
        <f t="shared" si="40"/>
        <v>157806911.88</v>
      </c>
      <c r="DZ42" s="286">
        <f t="shared" si="40"/>
        <v>146394259.88</v>
      </c>
      <c r="EA42" s="291">
        <f>+SUM(DW43:DW46)-DW42</f>
        <v>0</v>
      </c>
      <c r="EB42" s="292">
        <f>+DW42-B42</f>
        <v>0</v>
      </c>
    </row>
    <row r="43" spans="1:132" ht="45.75" customHeight="1" x14ac:dyDescent="0.2">
      <c r="A43" s="297" t="s">
        <v>2021</v>
      </c>
      <c r="B43" s="294">
        <f>DW42</f>
        <v>503000000</v>
      </c>
      <c r="C43" s="299">
        <f>400000000/4</f>
        <v>100000000</v>
      </c>
      <c r="D43" s="299">
        <f>233530797/4</f>
        <v>58382699.25</v>
      </c>
      <c r="E43" s="299">
        <f>157806911.88/4</f>
        <v>39451727.969999999</v>
      </c>
      <c r="F43" s="299">
        <f>146394259.88/4</f>
        <v>36598564.969999999</v>
      </c>
      <c r="G43" s="299">
        <f>103000000/4</f>
        <v>25750000</v>
      </c>
      <c r="H43" s="299">
        <f>79321501/4</f>
        <v>19830375.25</v>
      </c>
      <c r="I43" s="299">
        <v>0</v>
      </c>
      <c r="J43" s="299">
        <v>0</v>
      </c>
      <c r="K43" s="299">
        <v>0</v>
      </c>
      <c r="L43" s="299">
        <v>0</v>
      </c>
      <c r="M43" s="299">
        <v>0</v>
      </c>
      <c r="N43" s="299">
        <v>0</v>
      </c>
      <c r="O43" s="299">
        <v>0</v>
      </c>
      <c r="P43" s="299">
        <v>0</v>
      </c>
      <c r="Q43" s="299">
        <v>0</v>
      </c>
      <c r="R43" s="299">
        <v>0</v>
      </c>
      <c r="S43" s="299">
        <v>0</v>
      </c>
      <c r="T43" s="299">
        <v>0</v>
      </c>
      <c r="U43" s="299">
        <v>0</v>
      </c>
      <c r="V43" s="299">
        <v>0</v>
      </c>
      <c r="W43" s="299">
        <v>0</v>
      </c>
      <c r="X43" s="299">
        <v>0</v>
      </c>
      <c r="Y43" s="299">
        <v>0</v>
      </c>
      <c r="Z43" s="299">
        <v>0</v>
      </c>
      <c r="AA43" s="299">
        <v>0</v>
      </c>
      <c r="AB43" s="299">
        <v>0</v>
      </c>
      <c r="AC43" s="299">
        <v>0</v>
      </c>
      <c r="AD43" s="299">
        <v>0</v>
      </c>
      <c r="AE43" s="299">
        <v>0</v>
      </c>
      <c r="AF43" s="299">
        <v>0</v>
      </c>
      <c r="AG43" s="299">
        <v>0</v>
      </c>
      <c r="AH43" s="299">
        <v>0</v>
      </c>
      <c r="AI43" s="299">
        <v>0</v>
      </c>
      <c r="AJ43" s="299">
        <v>0</v>
      </c>
      <c r="AK43" s="299">
        <v>0</v>
      </c>
      <c r="AL43" s="299">
        <v>0</v>
      </c>
      <c r="AM43" s="300">
        <v>0</v>
      </c>
      <c r="AN43" s="300">
        <v>0</v>
      </c>
      <c r="AO43" s="300">
        <v>0</v>
      </c>
      <c r="AP43" s="300">
        <v>0</v>
      </c>
      <c r="AQ43" s="300">
        <v>0</v>
      </c>
      <c r="AR43" s="300">
        <v>0</v>
      </c>
      <c r="AS43" s="300">
        <v>0</v>
      </c>
      <c r="AT43" s="300">
        <v>0</v>
      </c>
      <c r="AU43" s="300">
        <v>0</v>
      </c>
      <c r="AV43" s="300">
        <v>0</v>
      </c>
      <c r="AW43" s="300">
        <v>0</v>
      </c>
      <c r="AX43" s="300">
        <v>0</v>
      </c>
      <c r="AY43" s="300">
        <v>0</v>
      </c>
      <c r="AZ43" s="300">
        <v>0</v>
      </c>
      <c r="BA43" s="300">
        <v>0</v>
      </c>
      <c r="BB43" s="300">
        <v>0</v>
      </c>
      <c r="BC43" s="300">
        <v>0</v>
      </c>
      <c r="BD43" s="300">
        <v>0</v>
      </c>
      <c r="BE43" s="300">
        <v>0</v>
      </c>
      <c r="BF43" s="300">
        <v>0</v>
      </c>
      <c r="BG43" s="300">
        <v>0</v>
      </c>
      <c r="BH43" s="300">
        <v>0</v>
      </c>
      <c r="BI43" s="300">
        <v>0</v>
      </c>
      <c r="BJ43" s="300">
        <v>0</v>
      </c>
      <c r="BK43" s="299"/>
      <c r="BL43" s="299"/>
      <c r="BM43" s="299"/>
      <c r="BN43" s="299"/>
      <c r="BO43" s="300">
        <v>0</v>
      </c>
      <c r="BP43" s="300">
        <v>0</v>
      </c>
      <c r="BQ43" s="300">
        <v>0</v>
      </c>
      <c r="BR43" s="300">
        <v>0</v>
      </c>
      <c r="BS43" s="300">
        <v>0</v>
      </c>
      <c r="BT43" s="300">
        <v>0</v>
      </c>
      <c r="BU43" s="300">
        <v>0</v>
      </c>
      <c r="BV43" s="300">
        <v>0</v>
      </c>
      <c r="BW43" s="300">
        <v>0</v>
      </c>
      <c r="BX43" s="300">
        <v>0</v>
      </c>
      <c r="BY43" s="300">
        <v>0</v>
      </c>
      <c r="BZ43" s="300">
        <v>0</v>
      </c>
      <c r="CA43" s="300">
        <v>0</v>
      </c>
      <c r="CB43" s="300">
        <v>0</v>
      </c>
      <c r="CC43" s="300">
        <v>0</v>
      </c>
      <c r="CD43" s="300">
        <v>0</v>
      </c>
      <c r="CE43" s="300">
        <v>0</v>
      </c>
      <c r="CF43" s="300">
        <v>0</v>
      </c>
      <c r="CG43" s="300">
        <v>0</v>
      </c>
      <c r="CH43" s="300">
        <v>0</v>
      </c>
      <c r="CI43" s="300">
        <v>0</v>
      </c>
      <c r="CJ43" s="300">
        <v>0</v>
      </c>
      <c r="CK43" s="300">
        <v>0</v>
      </c>
      <c r="CL43" s="300">
        <v>0</v>
      </c>
      <c r="CM43" s="300">
        <v>0</v>
      </c>
      <c r="CN43" s="300">
        <v>0</v>
      </c>
      <c r="CO43" s="300">
        <v>0</v>
      </c>
      <c r="CP43" s="300">
        <v>0</v>
      </c>
      <c r="CQ43" s="300">
        <v>0</v>
      </c>
      <c r="CR43" s="300">
        <v>0</v>
      </c>
      <c r="CS43" s="300">
        <v>0</v>
      </c>
      <c r="CT43" s="300">
        <v>0</v>
      </c>
      <c r="CU43" s="300">
        <v>0</v>
      </c>
      <c r="CV43" s="300">
        <v>0</v>
      </c>
      <c r="CW43" s="300">
        <v>0</v>
      </c>
      <c r="CX43" s="300">
        <v>0</v>
      </c>
      <c r="CY43" s="300">
        <v>0</v>
      </c>
      <c r="CZ43" s="300">
        <v>0</v>
      </c>
      <c r="DA43" s="300">
        <v>0</v>
      </c>
      <c r="DB43" s="300">
        <v>0</v>
      </c>
      <c r="DC43" s="300">
        <v>0</v>
      </c>
      <c r="DD43" s="300">
        <v>0</v>
      </c>
      <c r="DE43" s="300">
        <v>0</v>
      </c>
      <c r="DF43" s="300">
        <v>0</v>
      </c>
      <c r="DG43" s="300">
        <v>0</v>
      </c>
      <c r="DH43" s="300">
        <v>0</v>
      </c>
      <c r="DI43" s="300">
        <v>0</v>
      </c>
      <c r="DJ43" s="300">
        <v>0</v>
      </c>
      <c r="DK43" s="300">
        <v>0</v>
      </c>
      <c r="DL43" s="300">
        <v>0</v>
      </c>
      <c r="DM43" s="300">
        <v>0</v>
      </c>
      <c r="DN43" s="300">
        <v>0</v>
      </c>
      <c r="DO43" s="300">
        <v>0</v>
      </c>
      <c r="DP43" s="300">
        <v>0</v>
      </c>
      <c r="DQ43" s="300">
        <v>0</v>
      </c>
      <c r="DR43" s="300">
        <v>0</v>
      </c>
      <c r="DS43" s="300">
        <v>0</v>
      </c>
      <c r="DT43" s="300">
        <v>0</v>
      </c>
      <c r="DU43" s="300">
        <v>0</v>
      </c>
      <c r="DV43" s="300">
        <v>0</v>
      </c>
      <c r="DW43" s="296">
        <f t="shared" si="40"/>
        <v>125750000</v>
      </c>
      <c r="DX43" s="296">
        <f t="shared" si="40"/>
        <v>78213074.5</v>
      </c>
      <c r="DY43" s="296">
        <f t="shared" si="40"/>
        <v>39451727.969999999</v>
      </c>
      <c r="DZ43" s="296">
        <f t="shared" si="40"/>
        <v>36598564.969999999</v>
      </c>
      <c r="EA43" s="287"/>
    </row>
    <row r="44" spans="1:132" ht="45.75" customHeight="1" x14ac:dyDescent="0.2">
      <c r="A44" s="297" t="s">
        <v>2022</v>
      </c>
      <c r="B44" s="298"/>
      <c r="C44" s="299">
        <f t="shared" ref="C44:C46" si="46">400000000/4</f>
        <v>100000000</v>
      </c>
      <c r="D44" s="299">
        <f t="shared" ref="D44:D46" si="47">233530797/4</f>
        <v>58382699.25</v>
      </c>
      <c r="E44" s="299">
        <f t="shared" ref="E44:E46" si="48">157806911.88/4</f>
        <v>39451727.969999999</v>
      </c>
      <c r="F44" s="299">
        <f t="shared" ref="F44:F46" si="49">146394259.88/4</f>
        <v>36598564.969999999</v>
      </c>
      <c r="G44" s="299">
        <f t="shared" ref="G44:G46" si="50">103000000/4</f>
        <v>25750000</v>
      </c>
      <c r="H44" s="299">
        <f t="shared" ref="H44:H46" si="51">79321501/4</f>
        <v>19830375.25</v>
      </c>
      <c r="I44" s="299">
        <v>0</v>
      </c>
      <c r="J44" s="299">
        <v>0</v>
      </c>
      <c r="K44" s="299">
        <v>0</v>
      </c>
      <c r="L44" s="299">
        <v>0</v>
      </c>
      <c r="M44" s="299">
        <v>0</v>
      </c>
      <c r="N44" s="299">
        <v>0</v>
      </c>
      <c r="O44" s="299">
        <v>0</v>
      </c>
      <c r="P44" s="299">
        <v>0</v>
      </c>
      <c r="Q44" s="299">
        <v>0</v>
      </c>
      <c r="R44" s="299">
        <v>0</v>
      </c>
      <c r="S44" s="299">
        <v>0</v>
      </c>
      <c r="T44" s="299">
        <v>0</v>
      </c>
      <c r="U44" s="299">
        <v>0</v>
      </c>
      <c r="V44" s="299">
        <v>0</v>
      </c>
      <c r="W44" s="299">
        <v>0</v>
      </c>
      <c r="X44" s="299">
        <v>0</v>
      </c>
      <c r="Y44" s="299">
        <v>0</v>
      </c>
      <c r="Z44" s="299">
        <v>0</v>
      </c>
      <c r="AA44" s="299">
        <v>0</v>
      </c>
      <c r="AB44" s="299">
        <v>0</v>
      </c>
      <c r="AC44" s="299">
        <v>0</v>
      </c>
      <c r="AD44" s="299">
        <v>0</v>
      </c>
      <c r="AE44" s="299">
        <v>0</v>
      </c>
      <c r="AF44" s="299">
        <v>0</v>
      </c>
      <c r="AG44" s="299">
        <v>0</v>
      </c>
      <c r="AH44" s="299">
        <v>0</v>
      </c>
      <c r="AI44" s="299">
        <v>0</v>
      </c>
      <c r="AJ44" s="299">
        <v>0</v>
      </c>
      <c r="AK44" s="299">
        <v>0</v>
      </c>
      <c r="AL44" s="299">
        <v>0</v>
      </c>
      <c r="AM44" s="300">
        <v>0</v>
      </c>
      <c r="AN44" s="300">
        <v>0</v>
      </c>
      <c r="AO44" s="300">
        <v>0</v>
      </c>
      <c r="AP44" s="300">
        <v>0</v>
      </c>
      <c r="AQ44" s="300">
        <v>0</v>
      </c>
      <c r="AR44" s="300">
        <v>0</v>
      </c>
      <c r="AS44" s="300">
        <v>0</v>
      </c>
      <c r="AT44" s="300">
        <v>0</v>
      </c>
      <c r="AU44" s="300">
        <v>0</v>
      </c>
      <c r="AV44" s="300">
        <v>0</v>
      </c>
      <c r="AW44" s="300">
        <v>0</v>
      </c>
      <c r="AX44" s="300">
        <v>0</v>
      </c>
      <c r="AY44" s="300">
        <v>0</v>
      </c>
      <c r="AZ44" s="300">
        <v>0</v>
      </c>
      <c r="BA44" s="300">
        <v>0</v>
      </c>
      <c r="BB44" s="300">
        <v>0</v>
      </c>
      <c r="BC44" s="300">
        <v>0</v>
      </c>
      <c r="BD44" s="300">
        <v>0</v>
      </c>
      <c r="BE44" s="300">
        <v>0</v>
      </c>
      <c r="BF44" s="300">
        <v>0</v>
      </c>
      <c r="BG44" s="300">
        <v>0</v>
      </c>
      <c r="BH44" s="300">
        <v>0</v>
      </c>
      <c r="BI44" s="300">
        <v>0</v>
      </c>
      <c r="BJ44" s="300">
        <v>0</v>
      </c>
      <c r="BK44" s="299"/>
      <c r="BL44" s="299"/>
      <c r="BM44" s="299"/>
      <c r="BN44" s="299"/>
      <c r="BO44" s="300">
        <v>0</v>
      </c>
      <c r="BP44" s="300">
        <v>0</v>
      </c>
      <c r="BQ44" s="300">
        <v>0</v>
      </c>
      <c r="BR44" s="300">
        <v>0</v>
      </c>
      <c r="BS44" s="300">
        <v>0</v>
      </c>
      <c r="BT44" s="300">
        <v>0</v>
      </c>
      <c r="BU44" s="300">
        <v>0</v>
      </c>
      <c r="BV44" s="300">
        <v>0</v>
      </c>
      <c r="BW44" s="300">
        <v>0</v>
      </c>
      <c r="BX44" s="300">
        <v>0</v>
      </c>
      <c r="BY44" s="300">
        <v>0</v>
      </c>
      <c r="BZ44" s="300">
        <v>0</v>
      </c>
      <c r="CA44" s="300">
        <v>0</v>
      </c>
      <c r="CB44" s="300">
        <v>0</v>
      </c>
      <c r="CC44" s="300">
        <v>0</v>
      </c>
      <c r="CD44" s="300">
        <v>0</v>
      </c>
      <c r="CE44" s="300">
        <v>0</v>
      </c>
      <c r="CF44" s="300">
        <v>0</v>
      </c>
      <c r="CG44" s="300">
        <v>0</v>
      </c>
      <c r="CH44" s="300">
        <v>0</v>
      </c>
      <c r="CI44" s="300">
        <v>0</v>
      </c>
      <c r="CJ44" s="300">
        <v>0</v>
      </c>
      <c r="CK44" s="300">
        <v>0</v>
      </c>
      <c r="CL44" s="300">
        <v>0</v>
      </c>
      <c r="CM44" s="300">
        <v>0</v>
      </c>
      <c r="CN44" s="300">
        <v>0</v>
      </c>
      <c r="CO44" s="300">
        <v>0</v>
      </c>
      <c r="CP44" s="300">
        <v>0</v>
      </c>
      <c r="CQ44" s="300">
        <v>0</v>
      </c>
      <c r="CR44" s="300">
        <v>0</v>
      </c>
      <c r="CS44" s="300">
        <v>0</v>
      </c>
      <c r="CT44" s="300">
        <v>0</v>
      </c>
      <c r="CU44" s="300">
        <v>0</v>
      </c>
      <c r="CV44" s="300">
        <v>0</v>
      </c>
      <c r="CW44" s="300">
        <v>0</v>
      </c>
      <c r="CX44" s="300">
        <v>0</v>
      </c>
      <c r="CY44" s="300">
        <v>0</v>
      </c>
      <c r="CZ44" s="300">
        <v>0</v>
      </c>
      <c r="DA44" s="300">
        <v>0</v>
      </c>
      <c r="DB44" s="300">
        <v>0</v>
      </c>
      <c r="DC44" s="300">
        <v>0</v>
      </c>
      <c r="DD44" s="300">
        <v>0</v>
      </c>
      <c r="DE44" s="300">
        <v>0</v>
      </c>
      <c r="DF44" s="300">
        <v>0</v>
      </c>
      <c r="DG44" s="300">
        <v>0</v>
      </c>
      <c r="DH44" s="300">
        <v>0</v>
      </c>
      <c r="DI44" s="300">
        <v>0</v>
      </c>
      <c r="DJ44" s="300">
        <v>0</v>
      </c>
      <c r="DK44" s="300">
        <v>0</v>
      </c>
      <c r="DL44" s="300">
        <v>0</v>
      </c>
      <c r="DM44" s="300">
        <v>0</v>
      </c>
      <c r="DN44" s="300">
        <v>0</v>
      </c>
      <c r="DO44" s="300">
        <v>0</v>
      </c>
      <c r="DP44" s="300">
        <v>0</v>
      </c>
      <c r="DQ44" s="300">
        <v>0</v>
      </c>
      <c r="DR44" s="300">
        <v>0</v>
      </c>
      <c r="DS44" s="300">
        <v>0</v>
      </c>
      <c r="DT44" s="300">
        <v>0</v>
      </c>
      <c r="DU44" s="300">
        <v>0</v>
      </c>
      <c r="DV44" s="300">
        <v>0</v>
      </c>
      <c r="DW44" s="296">
        <f t="shared" si="40"/>
        <v>125750000</v>
      </c>
      <c r="DX44" s="296">
        <f t="shared" si="40"/>
        <v>78213074.5</v>
      </c>
      <c r="DY44" s="296">
        <f t="shared" si="40"/>
        <v>39451727.969999999</v>
      </c>
      <c r="DZ44" s="296">
        <f t="shared" si="40"/>
        <v>36598564.969999999</v>
      </c>
      <c r="EA44" s="287"/>
    </row>
    <row r="45" spans="1:132" ht="45.75" customHeight="1" x14ac:dyDescent="0.2">
      <c r="A45" s="297" t="s">
        <v>2023</v>
      </c>
      <c r="B45" s="298"/>
      <c r="C45" s="299">
        <f t="shared" si="46"/>
        <v>100000000</v>
      </c>
      <c r="D45" s="299">
        <f t="shared" si="47"/>
        <v>58382699.25</v>
      </c>
      <c r="E45" s="299">
        <f t="shared" si="48"/>
        <v>39451727.969999999</v>
      </c>
      <c r="F45" s="299">
        <f t="shared" si="49"/>
        <v>36598564.969999999</v>
      </c>
      <c r="G45" s="299">
        <f t="shared" si="50"/>
        <v>25750000</v>
      </c>
      <c r="H45" s="299">
        <f t="shared" si="51"/>
        <v>19830375.25</v>
      </c>
      <c r="I45" s="299">
        <v>0</v>
      </c>
      <c r="J45" s="299">
        <v>0</v>
      </c>
      <c r="K45" s="299">
        <v>0</v>
      </c>
      <c r="L45" s="299">
        <v>0</v>
      </c>
      <c r="M45" s="299">
        <v>0</v>
      </c>
      <c r="N45" s="299">
        <v>0</v>
      </c>
      <c r="O45" s="299">
        <v>0</v>
      </c>
      <c r="P45" s="299">
        <v>0</v>
      </c>
      <c r="Q45" s="299">
        <v>0</v>
      </c>
      <c r="R45" s="299">
        <v>0</v>
      </c>
      <c r="S45" s="299">
        <v>0</v>
      </c>
      <c r="T45" s="299">
        <v>0</v>
      </c>
      <c r="U45" s="299">
        <v>0</v>
      </c>
      <c r="V45" s="299">
        <v>0</v>
      </c>
      <c r="W45" s="299">
        <v>0</v>
      </c>
      <c r="X45" s="299">
        <v>0</v>
      </c>
      <c r="Y45" s="299">
        <v>0</v>
      </c>
      <c r="Z45" s="299">
        <v>0</v>
      </c>
      <c r="AA45" s="299">
        <v>0</v>
      </c>
      <c r="AB45" s="299">
        <v>0</v>
      </c>
      <c r="AC45" s="299">
        <v>0</v>
      </c>
      <c r="AD45" s="299">
        <v>0</v>
      </c>
      <c r="AE45" s="299">
        <v>0</v>
      </c>
      <c r="AF45" s="299">
        <v>0</v>
      </c>
      <c r="AG45" s="299">
        <v>0</v>
      </c>
      <c r="AH45" s="299">
        <v>0</v>
      </c>
      <c r="AI45" s="299">
        <v>0</v>
      </c>
      <c r="AJ45" s="299">
        <v>0</v>
      </c>
      <c r="AK45" s="299">
        <v>0</v>
      </c>
      <c r="AL45" s="299">
        <v>0</v>
      </c>
      <c r="AM45" s="300">
        <v>0</v>
      </c>
      <c r="AN45" s="300">
        <v>0</v>
      </c>
      <c r="AO45" s="300">
        <v>0</v>
      </c>
      <c r="AP45" s="300">
        <v>0</v>
      </c>
      <c r="AQ45" s="300">
        <v>0</v>
      </c>
      <c r="AR45" s="300">
        <v>0</v>
      </c>
      <c r="AS45" s="300">
        <v>0</v>
      </c>
      <c r="AT45" s="300">
        <v>0</v>
      </c>
      <c r="AU45" s="300">
        <v>0</v>
      </c>
      <c r="AV45" s="300">
        <v>0</v>
      </c>
      <c r="AW45" s="300">
        <v>0</v>
      </c>
      <c r="AX45" s="300">
        <v>0</v>
      </c>
      <c r="AY45" s="300">
        <v>0</v>
      </c>
      <c r="AZ45" s="300">
        <v>0</v>
      </c>
      <c r="BA45" s="300">
        <v>0</v>
      </c>
      <c r="BB45" s="300">
        <v>0</v>
      </c>
      <c r="BC45" s="300">
        <v>0</v>
      </c>
      <c r="BD45" s="300">
        <v>0</v>
      </c>
      <c r="BE45" s="300">
        <v>0</v>
      </c>
      <c r="BF45" s="300">
        <v>0</v>
      </c>
      <c r="BG45" s="300">
        <v>0</v>
      </c>
      <c r="BH45" s="300">
        <v>0</v>
      </c>
      <c r="BI45" s="300">
        <v>0</v>
      </c>
      <c r="BJ45" s="300">
        <v>0</v>
      </c>
      <c r="BK45" s="299"/>
      <c r="BL45" s="299"/>
      <c r="BM45" s="299"/>
      <c r="BN45" s="299"/>
      <c r="BO45" s="300">
        <v>0</v>
      </c>
      <c r="BP45" s="300">
        <v>0</v>
      </c>
      <c r="BQ45" s="300">
        <v>0</v>
      </c>
      <c r="BR45" s="300">
        <v>0</v>
      </c>
      <c r="BS45" s="300">
        <v>0</v>
      </c>
      <c r="BT45" s="300">
        <v>0</v>
      </c>
      <c r="BU45" s="300">
        <v>0</v>
      </c>
      <c r="BV45" s="300">
        <v>0</v>
      </c>
      <c r="BW45" s="300">
        <v>0</v>
      </c>
      <c r="BX45" s="300">
        <v>0</v>
      </c>
      <c r="BY45" s="300">
        <v>0</v>
      </c>
      <c r="BZ45" s="300">
        <v>0</v>
      </c>
      <c r="CA45" s="300">
        <v>0</v>
      </c>
      <c r="CB45" s="300">
        <v>0</v>
      </c>
      <c r="CC45" s="300">
        <v>0</v>
      </c>
      <c r="CD45" s="300">
        <v>0</v>
      </c>
      <c r="CE45" s="300">
        <v>0</v>
      </c>
      <c r="CF45" s="300">
        <v>0</v>
      </c>
      <c r="CG45" s="300">
        <v>0</v>
      </c>
      <c r="CH45" s="300">
        <v>0</v>
      </c>
      <c r="CI45" s="300">
        <v>0</v>
      </c>
      <c r="CJ45" s="300">
        <v>0</v>
      </c>
      <c r="CK45" s="300">
        <v>0</v>
      </c>
      <c r="CL45" s="300">
        <v>0</v>
      </c>
      <c r="CM45" s="300">
        <v>0</v>
      </c>
      <c r="CN45" s="300">
        <v>0</v>
      </c>
      <c r="CO45" s="300">
        <v>0</v>
      </c>
      <c r="CP45" s="300">
        <v>0</v>
      </c>
      <c r="CQ45" s="300">
        <v>0</v>
      </c>
      <c r="CR45" s="300">
        <v>0</v>
      </c>
      <c r="CS45" s="300">
        <v>0</v>
      </c>
      <c r="CT45" s="300">
        <v>0</v>
      </c>
      <c r="CU45" s="300">
        <v>0</v>
      </c>
      <c r="CV45" s="300">
        <v>0</v>
      </c>
      <c r="CW45" s="300">
        <v>0</v>
      </c>
      <c r="CX45" s="300">
        <v>0</v>
      </c>
      <c r="CY45" s="300">
        <v>0</v>
      </c>
      <c r="CZ45" s="300">
        <v>0</v>
      </c>
      <c r="DA45" s="300">
        <v>0</v>
      </c>
      <c r="DB45" s="300">
        <v>0</v>
      </c>
      <c r="DC45" s="300">
        <v>0</v>
      </c>
      <c r="DD45" s="300">
        <v>0</v>
      </c>
      <c r="DE45" s="300">
        <v>0</v>
      </c>
      <c r="DF45" s="300">
        <v>0</v>
      </c>
      <c r="DG45" s="300">
        <v>0</v>
      </c>
      <c r="DH45" s="300">
        <v>0</v>
      </c>
      <c r="DI45" s="300">
        <v>0</v>
      </c>
      <c r="DJ45" s="300">
        <v>0</v>
      </c>
      <c r="DK45" s="300">
        <v>0</v>
      </c>
      <c r="DL45" s="300">
        <v>0</v>
      </c>
      <c r="DM45" s="300">
        <v>0</v>
      </c>
      <c r="DN45" s="300">
        <v>0</v>
      </c>
      <c r="DO45" s="300">
        <v>0</v>
      </c>
      <c r="DP45" s="300">
        <v>0</v>
      </c>
      <c r="DQ45" s="300">
        <v>0</v>
      </c>
      <c r="DR45" s="300">
        <v>0</v>
      </c>
      <c r="DS45" s="300">
        <v>0</v>
      </c>
      <c r="DT45" s="300">
        <v>0</v>
      </c>
      <c r="DU45" s="300">
        <v>0</v>
      </c>
      <c r="DV45" s="300">
        <v>0</v>
      </c>
      <c r="DW45" s="296">
        <f t="shared" si="40"/>
        <v>125750000</v>
      </c>
      <c r="DX45" s="296">
        <f t="shared" si="40"/>
        <v>78213074.5</v>
      </c>
      <c r="DY45" s="296">
        <f t="shared" si="40"/>
        <v>39451727.969999999</v>
      </c>
      <c r="DZ45" s="296">
        <f t="shared" si="40"/>
        <v>36598564.969999999</v>
      </c>
      <c r="EA45" s="287"/>
    </row>
    <row r="46" spans="1:132" ht="45.75" customHeight="1" x14ac:dyDescent="0.2">
      <c r="A46" s="293" t="s">
        <v>2024</v>
      </c>
      <c r="B46" s="301"/>
      <c r="C46" s="299">
        <f t="shared" si="46"/>
        <v>100000000</v>
      </c>
      <c r="D46" s="299">
        <f t="shared" si="47"/>
        <v>58382699.25</v>
      </c>
      <c r="E46" s="299">
        <f t="shared" si="48"/>
        <v>39451727.969999999</v>
      </c>
      <c r="F46" s="299">
        <f t="shared" si="49"/>
        <v>36598564.969999999</v>
      </c>
      <c r="G46" s="299">
        <f t="shared" si="50"/>
        <v>25750000</v>
      </c>
      <c r="H46" s="299">
        <f t="shared" si="51"/>
        <v>19830375.25</v>
      </c>
      <c r="I46" s="299">
        <v>0</v>
      </c>
      <c r="J46" s="299">
        <v>0</v>
      </c>
      <c r="K46" s="299">
        <v>0</v>
      </c>
      <c r="L46" s="299">
        <v>0</v>
      </c>
      <c r="M46" s="299">
        <v>0</v>
      </c>
      <c r="N46" s="299">
        <v>0</v>
      </c>
      <c r="O46" s="299">
        <v>0</v>
      </c>
      <c r="P46" s="299">
        <v>0</v>
      </c>
      <c r="Q46" s="299">
        <v>0</v>
      </c>
      <c r="R46" s="299">
        <v>0</v>
      </c>
      <c r="S46" s="299">
        <v>0</v>
      </c>
      <c r="T46" s="299">
        <v>0</v>
      </c>
      <c r="U46" s="299">
        <v>0</v>
      </c>
      <c r="V46" s="299">
        <v>0</v>
      </c>
      <c r="W46" s="299">
        <v>0</v>
      </c>
      <c r="X46" s="299">
        <v>0</v>
      </c>
      <c r="Y46" s="299">
        <v>0</v>
      </c>
      <c r="Z46" s="299">
        <v>0</v>
      </c>
      <c r="AA46" s="299">
        <v>0</v>
      </c>
      <c r="AB46" s="299">
        <v>0</v>
      </c>
      <c r="AC46" s="299">
        <v>0</v>
      </c>
      <c r="AD46" s="299">
        <v>0</v>
      </c>
      <c r="AE46" s="299">
        <v>0</v>
      </c>
      <c r="AF46" s="299">
        <v>0</v>
      </c>
      <c r="AG46" s="299">
        <v>0</v>
      </c>
      <c r="AH46" s="299">
        <v>0</v>
      </c>
      <c r="AI46" s="299">
        <v>0</v>
      </c>
      <c r="AJ46" s="299">
        <v>0</v>
      </c>
      <c r="AK46" s="299">
        <v>0</v>
      </c>
      <c r="AL46" s="299">
        <v>0</v>
      </c>
      <c r="AM46" s="295">
        <v>0</v>
      </c>
      <c r="AN46" s="295">
        <v>0</v>
      </c>
      <c r="AO46" s="295">
        <v>0</v>
      </c>
      <c r="AP46" s="295">
        <v>0</v>
      </c>
      <c r="AQ46" s="295">
        <v>0</v>
      </c>
      <c r="AR46" s="295">
        <v>0</v>
      </c>
      <c r="AS46" s="295">
        <v>0</v>
      </c>
      <c r="AT46" s="295">
        <v>0</v>
      </c>
      <c r="AU46" s="295">
        <v>0</v>
      </c>
      <c r="AV46" s="295">
        <v>0</v>
      </c>
      <c r="AW46" s="295">
        <v>0</v>
      </c>
      <c r="AX46" s="295">
        <v>0</v>
      </c>
      <c r="AY46" s="295">
        <v>0</v>
      </c>
      <c r="AZ46" s="295">
        <v>0</v>
      </c>
      <c r="BA46" s="295">
        <v>0</v>
      </c>
      <c r="BB46" s="295">
        <v>0</v>
      </c>
      <c r="BC46" s="295">
        <v>0</v>
      </c>
      <c r="BD46" s="295">
        <v>0</v>
      </c>
      <c r="BE46" s="295">
        <v>0</v>
      </c>
      <c r="BF46" s="295">
        <v>0</v>
      </c>
      <c r="BG46" s="295">
        <v>0</v>
      </c>
      <c r="BH46" s="295">
        <v>0</v>
      </c>
      <c r="BI46" s="295">
        <v>0</v>
      </c>
      <c r="BJ46" s="295">
        <v>0</v>
      </c>
      <c r="BK46" s="295">
        <v>0</v>
      </c>
      <c r="BL46" s="295">
        <v>0</v>
      </c>
      <c r="BM46" s="295">
        <v>0</v>
      </c>
      <c r="BN46" s="295">
        <v>0</v>
      </c>
      <c r="BO46" s="295">
        <v>0</v>
      </c>
      <c r="BP46" s="295">
        <v>0</v>
      </c>
      <c r="BQ46" s="295">
        <v>0</v>
      </c>
      <c r="BR46" s="295">
        <v>0</v>
      </c>
      <c r="BS46" s="300">
        <v>0</v>
      </c>
      <c r="BT46" s="300">
        <v>0</v>
      </c>
      <c r="BU46" s="300">
        <v>0</v>
      </c>
      <c r="BV46" s="300">
        <v>0</v>
      </c>
      <c r="BW46" s="295">
        <v>0</v>
      </c>
      <c r="BX46" s="295">
        <v>0</v>
      </c>
      <c r="BY46" s="295">
        <v>0</v>
      </c>
      <c r="BZ46" s="295">
        <v>0</v>
      </c>
      <c r="CA46" s="295">
        <v>0</v>
      </c>
      <c r="CB46" s="295">
        <v>0</v>
      </c>
      <c r="CC46" s="295">
        <v>0</v>
      </c>
      <c r="CD46" s="295">
        <v>0</v>
      </c>
      <c r="CE46" s="295">
        <v>0</v>
      </c>
      <c r="CF46" s="295">
        <v>0</v>
      </c>
      <c r="CG46" s="295">
        <v>0</v>
      </c>
      <c r="CH46" s="295">
        <v>0</v>
      </c>
      <c r="CI46" s="295">
        <v>0</v>
      </c>
      <c r="CJ46" s="295">
        <v>0</v>
      </c>
      <c r="CK46" s="295">
        <v>0</v>
      </c>
      <c r="CL46" s="295">
        <v>0</v>
      </c>
      <c r="CM46" s="295">
        <v>0</v>
      </c>
      <c r="CN46" s="295">
        <v>0</v>
      </c>
      <c r="CO46" s="295">
        <v>0</v>
      </c>
      <c r="CP46" s="295">
        <v>0</v>
      </c>
      <c r="CQ46" s="295">
        <v>0</v>
      </c>
      <c r="CR46" s="295">
        <v>0</v>
      </c>
      <c r="CS46" s="295">
        <v>0</v>
      </c>
      <c r="CT46" s="295">
        <v>0</v>
      </c>
      <c r="CU46" s="295">
        <v>0</v>
      </c>
      <c r="CV46" s="295">
        <v>0</v>
      </c>
      <c r="CW46" s="295">
        <v>0</v>
      </c>
      <c r="CX46" s="295">
        <v>0</v>
      </c>
      <c r="CY46" s="295">
        <v>0</v>
      </c>
      <c r="CZ46" s="295">
        <v>0</v>
      </c>
      <c r="DA46" s="295">
        <v>0</v>
      </c>
      <c r="DB46" s="295">
        <v>0</v>
      </c>
      <c r="DC46" s="295">
        <v>0</v>
      </c>
      <c r="DD46" s="295">
        <v>0</v>
      </c>
      <c r="DE46" s="295">
        <v>0</v>
      </c>
      <c r="DF46" s="295">
        <v>0</v>
      </c>
      <c r="DG46" s="295">
        <v>0</v>
      </c>
      <c r="DH46" s="295">
        <v>0</v>
      </c>
      <c r="DI46" s="295">
        <v>0</v>
      </c>
      <c r="DJ46" s="295">
        <v>0</v>
      </c>
      <c r="DK46" s="295">
        <v>0</v>
      </c>
      <c r="DL46" s="295">
        <v>0</v>
      </c>
      <c r="DM46" s="295">
        <v>0</v>
      </c>
      <c r="DN46" s="295">
        <v>0</v>
      </c>
      <c r="DO46" s="295">
        <v>0</v>
      </c>
      <c r="DP46" s="295">
        <v>0</v>
      </c>
      <c r="DQ46" s="295">
        <v>0</v>
      </c>
      <c r="DR46" s="295">
        <v>0</v>
      </c>
      <c r="DS46" s="295">
        <v>0</v>
      </c>
      <c r="DT46" s="295">
        <v>0</v>
      </c>
      <c r="DU46" s="295">
        <v>0</v>
      </c>
      <c r="DV46" s="295">
        <v>0</v>
      </c>
      <c r="DW46" s="296">
        <f t="shared" si="40"/>
        <v>125750000</v>
      </c>
      <c r="DX46" s="296">
        <f t="shared" si="40"/>
        <v>78213074.5</v>
      </c>
      <c r="DY46" s="296">
        <f t="shared" si="40"/>
        <v>39451727.969999999</v>
      </c>
      <c r="DZ46" s="296">
        <f t="shared" si="40"/>
        <v>36598564.969999999</v>
      </c>
      <c r="EA46" s="302">
        <f>+SUM(DW43:DW45)-B43</f>
        <v>-125750000</v>
      </c>
    </row>
    <row r="47" spans="1:132" ht="45.75" customHeight="1" x14ac:dyDescent="0.2">
      <c r="A47" s="303" t="s">
        <v>2025</v>
      </c>
      <c r="B47" s="290">
        <f t="shared" ref="B47:BM47" si="52">SUM(B48:B50)</f>
        <v>42351790422.139999</v>
      </c>
      <c r="C47" s="290">
        <f t="shared" si="52"/>
        <v>1920000000</v>
      </c>
      <c r="D47" s="290">
        <f t="shared" si="52"/>
        <v>1707537352.9400001</v>
      </c>
      <c r="E47" s="290">
        <f t="shared" si="52"/>
        <v>363610659.33999997</v>
      </c>
      <c r="F47" s="290">
        <f t="shared" si="52"/>
        <v>353146946.39999998</v>
      </c>
      <c r="G47" s="290">
        <f t="shared" si="52"/>
        <v>2500000000</v>
      </c>
      <c r="H47" s="290">
        <f t="shared" si="52"/>
        <v>2298799453</v>
      </c>
      <c r="I47" s="290">
        <f t="shared" si="52"/>
        <v>0</v>
      </c>
      <c r="J47" s="290">
        <f t="shared" si="52"/>
        <v>0</v>
      </c>
      <c r="K47" s="290">
        <f t="shared" si="52"/>
        <v>0</v>
      </c>
      <c r="L47" s="290">
        <f t="shared" si="52"/>
        <v>0</v>
      </c>
      <c r="M47" s="290">
        <f t="shared" si="52"/>
        <v>0</v>
      </c>
      <c r="N47" s="290">
        <f t="shared" si="52"/>
        <v>0</v>
      </c>
      <c r="O47" s="290">
        <f t="shared" si="52"/>
        <v>0</v>
      </c>
      <c r="P47" s="290">
        <f t="shared" si="52"/>
        <v>0</v>
      </c>
      <c r="Q47" s="290">
        <f t="shared" si="52"/>
        <v>0</v>
      </c>
      <c r="R47" s="290">
        <f t="shared" si="52"/>
        <v>0</v>
      </c>
      <c r="S47" s="290">
        <f t="shared" si="52"/>
        <v>0</v>
      </c>
      <c r="T47" s="290">
        <f t="shared" si="52"/>
        <v>0</v>
      </c>
      <c r="U47" s="290">
        <f t="shared" si="52"/>
        <v>0</v>
      </c>
      <c r="V47" s="290">
        <f t="shared" si="52"/>
        <v>0</v>
      </c>
      <c r="W47" s="290">
        <f t="shared" si="52"/>
        <v>0</v>
      </c>
      <c r="X47" s="290">
        <f t="shared" si="52"/>
        <v>0</v>
      </c>
      <c r="Y47" s="290">
        <f t="shared" si="52"/>
        <v>0</v>
      </c>
      <c r="Z47" s="290">
        <f t="shared" si="52"/>
        <v>0</v>
      </c>
      <c r="AA47" s="290">
        <f t="shared" si="52"/>
        <v>0</v>
      </c>
      <c r="AB47" s="290">
        <f t="shared" si="52"/>
        <v>0</v>
      </c>
      <c r="AC47" s="290">
        <f t="shared" si="52"/>
        <v>0</v>
      </c>
      <c r="AD47" s="290">
        <f t="shared" si="52"/>
        <v>0</v>
      </c>
      <c r="AE47" s="290">
        <f t="shared" si="52"/>
        <v>0</v>
      </c>
      <c r="AF47" s="290">
        <f t="shared" si="52"/>
        <v>0</v>
      </c>
      <c r="AG47" s="290">
        <f t="shared" si="52"/>
        <v>0</v>
      </c>
      <c r="AH47" s="290">
        <f t="shared" si="52"/>
        <v>0</v>
      </c>
      <c r="AI47" s="290">
        <f t="shared" si="52"/>
        <v>0</v>
      </c>
      <c r="AJ47" s="290">
        <f t="shared" si="52"/>
        <v>0</v>
      </c>
      <c r="AK47" s="290">
        <f t="shared" si="52"/>
        <v>0</v>
      </c>
      <c r="AL47" s="290">
        <f t="shared" si="52"/>
        <v>0</v>
      </c>
      <c r="AM47" s="290">
        <f t="shared" si="52"/>
        <v>0</v>
      </c>
      <c r="AN47" s="290">
        <f t="shared" si="52"/>
        <v>0</v>
      </c>
      <c r="AO47" s="290">
        <f t="shared" si="52"/>
        <v>0</v>
      </c>
      <c r="AP47" s="290">
        <f t="shared" si="52"/>
        <v>0</v>
      </c>
      <c r="AQ47" s="290">
        <f t="shared" si="52"/>
        <v>0</v>
      </c>
      <c r="AR47" s="290">
        <f t="shared" si="52"/>
        <v>0</v>
      </c>
      <c r="AS47" s="290">
        <f t="shared" si="52"/>
        <v>0</v>
      </c>
      <c r="AT47" s="290">
        <f t="shared" si="52"/>
        <v>0</v>
      </c>
      <c r="AU47" s="290">
        <f t="shared" si="52"/>
        <v>0</v>
      </c>
      <c r="AV47" s="290">
        <f t="shared" si="52"/>
        <v>0</v>
      </c>
      <c r="AW47" s="290">
        <f t="shared" si="52"/>
        <v>0</v>
      </c>
      <c r="AX47" s="290">
        <f t="shared" si="52"/>
        <v>0</v>
      </c>
      <c r="AY47" s="290">
        <f t="shared" si="52"/>
        <v>0</v>
      </c>
      <c r="AZ47" s="290">
        <f t="shared" si="52"/>
        <v>0</v>
      </c>
      <c r="BA47" s="290">
        <f t="shared" si="52"/>
        <v>0</v>
      </c>
      <c r="BB47" s="290">
        <f t="shared" si="52"/>
        <v>0</v>
      </c>
      <c r="BC47" s="290">
        <f t="shared" si="52"/>
        <v>37851790422.139999</v>
      </c>
      <c r="BD47" s="290">
        <f t="shared" si="52"/>
        <v>31389315290.139999</v>
      </c>
      <c r="BE47" s="290">
        <f t="shared" si="52"/>
        <v>15022424575.6</v>
      </c>
      <c r="BF47" s="290">
        <f t="shared" si="52"/>
        <v>15022424575.6</v>
      </c>
      <c r="BG47" s="290">
        <f t="shared" si="52"/>
        <v>80000000</v>
      </c>
      <c r="BH47" s="290">
        <f t="shared" si="52"/>
        <v>80000000</v>
      </c>
      <c r="BI47" s="290">
        <f t="shared" si="52"/>
        <v>0</v>
      </c>
      <c r="BJ47" s="290">
        <f t="shared" si="52"/>
        <v>0</v>
      </c>
      <c r="BK47" s="290">
        <f t="shared" si="52"/>
        <v>0</v>
      </c>
      <c r="BL47" s="290">
        <f t="shared" si="52"/>
        <v>0</v>
      </c>
      <c r="BM47" s="290">
        <f t="shared" si="52"/>
        <v>0</v>
      </c>
      <c r="BN47" s="290">
        <f t="shared" ref="BN47:DV47" si="53">SUM(BN48:BN50)</f>
        <v>0</v>
      </c>
      <c r="BO47" s="290">
        <f t="shared" si="53"/>
        <v>0</v>
      </c>
      <c r="BP47" s="290">
        <f t="shared" si="53"/>
        <v>0</v>
      </c>
      <c r="BQ47" s="290">
        <f t="shared" si="53"/>
        <v>0</v>
      </c>
      <c r="BR47" s="290">
        <f t="shared" si="53"/>
        <v>0</v>
      </c>
      <c r="BS47" s="290">
        <f t="shared" si="53"/>
        <v>0</v>
      </c>
      <c r="BT47" s="290">
        <f t="shared" si="53"/>
        <v>0</v>
      </c>
      <c r="BU47" s="290">
        <f t="shared" si="53"/>
        <v>0</v>
      </c>
      <c r="BV47" s="290">
        <f t="shared" si="53"/>
        <v>0</v>
      </c>
      <c r="BW47" s="290">
        <f t="shared" si="53"/>
        <v>0</v>
      </c>
      <c r="BX47" s="290">
        <f t="shared" si="53"/>
        <v>0</v>
      </c>
      <c r="BY47" s="290">
        <f t="shared" si="53"/>
        <v>0</v>
      </c>
      <c r="BZ47" s="290">
        <f t="shared" si="53"/>
        <v>0</v>
      </c>
      <c r="CA47" s="290">
        <f t="shared" si="53"/>
        <v>0</v>
      </c>
      <c r="CB47" s="290">
        <f t="shared" si="53"/>
        <v>0</v>
      </c>
      <c r="CC47" s="290">
        <f t="shared" si="53"/>
        <v>0</v>
      </c>
      <c r="CD47" s="290">
        <f t="shared" si="53"/>
        <v>0</v>
      </c>
      <c r="CE47" s="290">
        <f t="shared" si="53"/>
        <v>0</v>
      </c>
      <c r="CF47" s="290">
        <f t="shared" si="53"/>
        <v>0</v>
      </c>
      <c r="CG47" s="290">
        <f t="shared" si="53"/>
        <v>0</v>
      </c>
      <c r="CH47" s="290">
        <f t="shared" si="53"/>
        <v>0</v>
      </c>
      <c r="CI47" s="290">
        <f t="shared" si="53"/>
        <v>0</v>
      </c>
      <c r="CJ47" s="290">
        <f t="shared" si="53"/>
        <v>0</v>
      </c>
      <c r="CK47" s="290">
        <f t="shared" si="53"/>
        <v>0</v>
      </c>
      <c r="CL47" s="290">
        <f t="shared" si="53"/>
        <v>0</v>
      </c>
      <c r="CM47" s="290">
        <f t="shared" si="53"/>
        <v>0</v>
      </c>
      <c r="CN47" s="290">
        <f t="shared" si="53"/>
        <v>0</v>
      </c>
      <c r="CO47" s="290">
        <f t="shared" si="53"/>
        <v>0</v>
      </c>
      <c r="CP47" s="290">
        <f t="shared" si="53"/>
        <v>0</v>
      </c>
      <c r="CQ47" s="290">
        <f t="shared" si="53"/>
        <v>0</v>
      </c>
      <c r="CR47" s="290">
        <f t="shared" si="53"/>
        <v>0</v>
      </c>
      <c r="CS47" s="290">
        <f t="shared" si="53"/>
        <v>0</v>
      </c>
      <c r="CT47" s="290">
        <f t="shared" si="53"/>
        <v>0</v>
      </c>
      <c r="CU47" s="290">
        <f t="shared" si="53"/>
        <v>0</v>
      </c>
      <c r="CV47" s="290">
        <f t="shared" si="53"/>
        <v>0</v>
      </c>
      <c r="CW47" s="290">
        <f t="shared" si="53"/>
        <v>0</v>
      </c>
      <c r="CX47" s="290">
        <f t="shared" si="53"/>
        <v>0</v>
      </c>
      <c r="CY47" s="290">
        <f t="shared" si="53"/>
        <v>0</v>
      </c>
      <c r="CZ47" s="290">
        <f t="shared" si="53"/>
        <v>0</v>
      </c>
      <c r="DA47" s="290">
        <f t="shared" si="53"/>
        <v>0</v>
      </c>
      <c r="DB47" s="290">
        <f t="shared" si="53"/>
        <v>0</v>
      </c>
      <c r="DC47" s="290">
        <f t="shared" si="53"/>
        <v>0</v>
      </c>
      <c r="DD47" s="290">
        <f t="shared" si="53"/>
        <v>0</v>
      </c>
      <c r="DE47" s="290">
        <f t="shared" si="53"/>
        <v>0</v>
      </c>
      <c r="DF47" s="290">
        <f t="shared" si="53"/>
        <v>0</v>
      </c>
      <c r="DG47" s="290">
        <f t="shared" si="53"/>
        <v>0</v>
      </c>
      <c r="DH47" s="290">
        <f t="shared" si="53"/>
        <v>0</v>
      </c>
      <c r="DI47" s="290">
        <f t="shared" si="53"/>
        <v>0</v>
      </c>
      <c r="DJ47" s="290">
        <f t="shared" si="53"/>
        <v>0</v>
      </c>
      <c r="DK47" s="290">
        <f t="shared" si="53"/>
        <v>0</v>
      </c>
      <c r="DL47" s="290">
        <f t="shared" si="53"/>
        <v>0</v>
      </c>
      <c r="DM47" s="290">
        <f t="shared" si="53"/>
        <v>0</v>
      </c>
      <c r="DN47" s="290">
        <f t="shared" si="53"/>
        <v>0</v>
      </c>
      <c r="DO47" s="290">
        <f t="shared" si="53"/>
        <v>0</v>
      </c>
      <c r="DP47" s="290">
        <f t="shared" si="53"/>
        <v>0</v>
      </c>
      <c r="DQ47" s="290">
        <f t="shared" si="53"/>
        <v>0</v>
      </c>
      <c r="DR47" s="290">
        <f t="shared" si="53"/>
        <v>0</v>
      </c>
      <c r="DS47" s="290">
        <f t="shared" si="53"/>
        <v>0</v>
      </c>
      <c r="DT47" s="290">
        <f t="shared" si="53"/>
        <v>0</v>
      </c>
      <c r="DU47" s="290">
        <f t="shared" si="53"/>
        <v>0</v>
      </c>
      <c r="DV47" s="290">
        <f t="shared" si="53"/>
        <v>0</v>
      </c>
      <c r="DW47" s="286">
        <f t="shared" si="40"/>
        <v>42351790422.139999</v>
      </c>
      <c r="DX47" s="286">
        <f t="shared" si="40"/>
        <v>35475652096.080002</v>
      </c>
      <c r="DY47" s="286">
        <f t="shared" si="40"/>
        <v>15386035234.940001</v>
      </c>
      <c r="DZ47" s="286">
        <f t="shared" si="40"/>
        <v>15375571522</v>
      </c>
      <c r="EA47" s="291">
        <f>+SUM(DW48:DW50)-DW47</f>
        <v>0</v>
      </c>
      <c r="EB47" s="292">
        <f>+DW47-B47</f>
        <v>0</v>
      </c>
    </row>
    <row r="48" spans="1:132" ht="45.75" customHeight="1" x14ac:dyDescent="0.2">
      <c r="A48" s="305" t="s">
        <v>2026</v>
      </c>
      <c r="B48" s="294">
        <f>DW47</f>
        <v>42351790422.139999</v>
      </c>
      <c r="C48" s="306">
        <f>1920000000/3</f>
        <v>640000000</v>
      </c>
      <c r="D48" s="306">
        <f>1707537352.94/3</f>
        <v>569179117.64666665</v>
      </c>
      <c r="E48" s="306">
        <f>363610659.34/3</f>
        <v>121203553.11333333</v>
      </c>
      <c r="F48" s="306">
        <f>353146946.4/3</f>
        <v>117715648.8</v>
      </c>
      <c r="G48" s="306">
        <f>2500000000/3</f>
        <v>833333333.33333337</v>
      </c>
      <c r="H48" s="306">
        <f>2298799453/3</f>
        <v>766266484.33333337</v>
      </c>
      <c r="I48" s="306">
        <v>0</v>
      </c>
      <c r="J48" s="306">
        <v>0</v>
      </c>
      <c r="K48" s="306">
        <v>0</v>
      </c>
      <c r="L48" s="306">
        <v>0</v>
      </c>
      <c r="M48" s="306">
        <v>0</v>
      </c>
      <c r="N48" s="306">
        <v>0</v>
      </c>
      <c r="O48" s="306">
        <v>0</v>
      </c>
      <c r="P48" s="306">
        <v>0</v>
      </c>
      <c r="Q48" s="306">
        <v>0</v>
      </c>
      <c r="R48" s="306">
        <v>0</v>
      </c>
      <c r="S48" s="306">
        <v>0</v>
      </c>
      <c r="T48" s="306">
        <v>0</v>
      </c>
      <c r="U48" s="306">
        <v>0</v>
      </c>
      <c r="V48" s="306">
        <v>0</v>
      </c>
      <c r="W48" s="306">
        <v>0</v>
      </c>
      <c r="X48" s="306">
        <v>0</v>
      </c>
      <c r="Y48" s="306">
        <v>0</v>
      </c>
      <c r="Z48" s="306">
        <v>0</v>
      </c>
      <c r="AA48" s="306">
        <v>0</v>
      </c>
      <c r="AB48" s="306">
        <v>0</v>
      </c>
      <c r="AC48" s="306">
        <v>0</v>
      </c>
      <c r="AD48" s="306">
        <v>0</v>
      </c>
      <c r="AE48" s="306">
        <v>0</v>
      </c>
      <c r="AF48" s="306">
        <v>0</v>
      </c>
      <c r="AG48" s="306">
        <v>0</v>
      </c>
      <c r="AH48" s="306">
        <v>0</v>
      </c>
      <c r="AI48" s="306">
        <v>0</v>
      </c>
      <c r="AJ48" s="306">
        <v>0</v>
      </c>
      <c r="AK48" s="306">
        <v>0</v>
      </c>
      <c r="AL48" s="306">
        <v>0</v>
      </c>
      <c r="AM48" s="300">
        <v>0</v>
      </c>
      <c r="AN48" s="300">
        <v>0</v>
      </c>
      <c r="AO48" s="300">
        <v>0</v>
      </c>
      <c r="AP48" s="300">
        <v>0</v>
      </c>
      <c r="AQ48" s="300">
        <v>0</v>
      </c>
      <c r="AR48" s="300">
        <v>0</v>
      </c>
      <c r="AS48" s="300">
        <v>0</v>
      </c>
      <c r="AT48" s="300">
        <v>0</v>
      </c>
      <c r="AU48" s="300">
        <v>0</v>
      </c>
      <c r="AV48" s="300">
        <v>0</v>
      </c>
      <c r="AW48" s="300">
        <v>0</v>
      </c>
      <c r="AX48" s="300">
        <v>0</v>
      </c>
      <c r="AY48" s="300">
        <v>0</v>
      </c>
      <c r="AZ48" s="300">
        <v>0</v>
      </c>
      <c r="BA48" s="300">
        <v>0</v>
      </c>
      <c r="BB48" s="300">
        <v>0</v>
      </c>
      <c r="BC48" s="306">
        <v>37851790422.139999</v>
      </c>
      <c r="BD48" s="306">
        <v>31389315290.139999</v>
      </c>
      <c r="BE48" s="306">
        <v>15022424575.6</v>
      </c>
      <c r="BF48" s="306">
        <v>15022424575.6</v>
      </c>
      <c r="BG48" s="300">
        <f>80000000/3</f>
        <v>26666666.666666668</v>
      </c>
      <c r="BH48" s="300">
        <f>80000000/3</f>
        <v>26666666.666666668</v>
      </c>
      <c r="BI48" s="300">
        <v>0</v>
      </c>
      <c r="BJ48" s="300">
        <v>0</v>
      </c>
      <c r="BK48" s="300">
        <v>0</v>
      </c>
      <c r="BL48" s="300">
        <v>0</v>
      </c>
      <c r="BM48" s="300">
        <v>0</v>
      </c>
      <c r="BN48" s="300">
        <v>0</v>
      </c>
      <c r="BO48" s="300">
        <v>0</v>
      </c>
      <c r="BP48" s="300">
        <v>0</v>
      </c>
      <c r="BQ48" s="300">
        <v>0</v>
      </c>
      <c r="BR48" s="300">
        <v>0</v>
      </c>
      <c r="BS48" s="300">
        <v>0</v>
      </c>
      <c r="BT48" s="300">
        <v>0</v>
      </c>
      <c r="BU48" s="300">
        <v>0</v>
      </c>
      <c r="BV48" s="300">
        <v>0</v>
      </c>
      <c r="BW48" s="300">
        <v>0</v>
      </c>
      <c r="BX48" s="300">
        <v>0</v>
      </c>
      <c r="BY48" s="300">
        <v>0</v>
      </c>
      <c r="BZ48" s="300">
        <v>0</v>
      </c>
      <c r="CA48" s="300">
        <v>0</v>
      </c>
      <c r="CB48" s="300">
        <v>0</v>
      </c>
      <c r="CC48" s="300">
        <v>0</v>
      </c>
      <c r="CD48" s="300">
        <v>0</v>
      </c>
      <c r="CE48" s="300">
        <v>0</v>
      </c>
      <c r="CF48" s="300">
        <v>0</v>
      </c>
      <c r="CG48" s="300">
        <v>0</v>
      </c>
      <c r="CH48" s="300">
        <v>0</v>
      </c>
      <c r="CI48" s="300">
        <v>0</v>
      </c>
      <c r="CJ48" s="300">
        <v>0</v>
      </c>
      <c r="CK48" s="300">
        <v>0</v>
      </c>
      <c r="CL48" s="300">
        <v>0</v>
      </c>
      <c r="CM48" s="300">
        <v>0</v>
      </c>
      <c r="CN48" s="300">
        <v>0</v>
      </c>
      <c r="CO48" s="300">
        <v>0</v>
      </c>
      <c r="CP48" s="300">
        <v>0</v>
      </c>
      <c r="CQ48" s="300">
        <v>0</v>
      </c>
      <c r="CR48" s="300">
        <v>0</v>
      </c>
      <c r="CS48" s="300">
        <v>0</v>
      </c>
      <c r="CT48" s="300">
        <v>0</v>
      </c>
      <c r="CU48" s="300">
        <v>0</v>
      </c>
      <c r="CV48" s="300">
        <v>0</v>
      </c>
      <c r="CW48" s="300">
        <v>0</v>
      </c>
      <c r="CX48" s="300">
        <v>0</v>
      </c>
      <c r="CY48" s="300">
        <v>0</v>
      </c>
      <c r="CZ48" s="300">
        <v>0</v>
      </c>
      <c r="DA48" s="300">
        <v>0</v>
      </c>
      <c r="DB48" s="300">
        <v>0</v>
      </c>
      <c r="DC48" s="300">
        <v>0</v>
      </c>
      <c r="DD48" s="300">
        <v>0</v>
      </c>
      <c r="DE48" s="300">
        <v>0</v>
      </c>
      <c r="DF48" s="300">
        <v>0</v>
      </c>
      <c r="DG48" s="300">
        <v>0</v>
      </c>
      <c r="DH48" s="300">
        <v>0</v>
      </c>
      <c r="DI48" s="300">
        <v>0</v>
      </c>
      <c r="DJ48" s="300">
        <v>0</v>
      </c>
      <c r="DK48" s="300">
        <v>0</v>
      </c>
      <c r="DL48" s="300">
        <v>0</v>
      </c>
      <c r="DM48" s="300">
        <v>0</v>
      </c>
      <c r="DN48" s="300">
        <v>0</v>
      </c>
      <c r="DO48" s="300">
        <v>0</v>
      </c>
      <c r="DP48" s="300">
        <v>0</v>
      </c>
      <c r="DQ48" s="300">
        <v>0</v>
      </c>
      <c r="DR48" s="300">
        <v>0</v>
      </c>
      <c r="DS48" s="300">
        <v>0</v>
      </c>
      <c r="DT48" s="300">
        <v>0</v>
      </c>
      <c r="DU48" s="300">
        <v>0</v>
      </c>
      <c r="DV48" s="300">
        <v>0</v>
      </c>
      <c r="DW48" s="296">
        <f t="shared" si="40"/>
        <v>39351790422.139999</v>
      </c>
      <c r="DX48" s="296">
        <f t="shared" si="40"/>
        <v>32751427558.786667</v>
      </c>
      <c r="DY48" s="296">
        <f t="shared" si="40"/>
        <v>15143628128.713333</v>
      </c>
      <c r="DZ48" s="296">
        <f t="shared" si="40"/>
        <v>15140140224.4</v>
      </c>
      <c r="EA48" s="287"/>
    </row>
    <row r="49" spans="1:132" ht="45.75" customHeight="1" x14ac:dyDescent="0.2">
      <c r="A49" s="293" t="s">
        <v>2027</v>
      </c>
      <c r="B49" s="298"/>
      <c r="C49" s="306">
        <f t="shared" ref="C49:C50" si="54">1920000000/3</f>
        <v>640000000</v>
      </c>
      <c r="D49" s="306">
        <f t="shared" ref="D49:D50" si="55">1707537352.94/3</f>
        <v>569179117.64666665</v>
      </c>
      <c r="E49" s="306">
        <f t="shared" ref="E49:E50" si="56">363610659.34/3</f>
        <v>121203553.11333333</v>
      </c>
      <c r="F49" s="306">
        <f t="shared" ref="F49:F50" si="57">353146946.4/3</f>
        <v>117715648.8</v>
      </c>
      <c r="G49" s="306">
        <f t="shared" ref="G49:G50" si="58">2500000000/3</f>
        <v>833333333.33333337</v>
      </c>
      <c r="H49" s="306">
        <f t="shared" ref="H49:H50" si="59">2298799453/3</f>
        <v>766266484.33333337</v>
      </c>
      <c r="I49" s="295">
        <v>0</v>
      </c>
      <c r="J49" s="295">
        <v>0</v>
      </c>
      <c r="K49" s="295">
        <v>0</v>
      </c>
      <c r="L49" s="295">
        <v>0</v>
      </c>
      <c r="M49" s="295">
        <v>0</v>
      </c>
      <c r="N49" s="295">
        <v>0</v>
      </c>
      <c r="O49" s="295">
        <v>0</v>
      </c>
      <c r="P49" s="295">
        <v>0</v>
      </c>
      <c r="Q49" s="295">
        <v>0</v>
      </c>
      <c r="R49" s="295">
        <v>0</v>
      </c>
      <c r="S49" s="295">
        <v>0</v>
      </c>
      <c r="T49" s="295">
        <v>0</v>
      </c>
      <c r="U49" s="295">
        <v>0</v>
      </c>
      <c r="V49" s="295">
        <v>0</v>
      </c>
      <c r="W49" s="295">
        <v>0</v>
      </c>
      <c r="X49" s="295">
        <v>0</v>
      </c>
      <c r="Y49" s="295">
        <v>0</v>
      </c>
      <c r="Z49" s="295">
        <v>0</v>
      </c>
      <c r="AA49" s="295">
        <v>0</v>
      </c>
      <c r="AB49" s="295">
        <v>0</v>
      </c>
      <c r="AC49" s="295">
        <v>0</v>
      </c>
      <c r="AD49" s="295">
        <v>0</v>
      </c>
      <c r="AE49" s="295">
        <v>0</v>
      </c>
      <c r="AF49" s="295">
        <v>0</v>
      </c>
      <c r="AG49" s="295">
        <v>0</v>
      </c>
      <c r="AH49" s="295">
        <v>0</v>
      </c>
      <c r="AI49" s="295">
        <v>0</v>
      </c>
      <c r="AJ49" s="295">
        <v>0</v>
      </c>
      <c r="AK49" s="295">
        <v>0</v>
      </c>
      <c r="AL49" s="295">
        <v>0</v>
      </c>
      <c r="AM49" s="295">
        <v>0</v>
      </c>
      <c r="AN49" s="295">
        <v>0</v>
      </c>
      <c r="AO49" s="295">
        <v>0</v>
      </c>
      <c r="AP49" s="295">
        <v>0</v>
      </c>
      <c r="AQ49" s="295">
        <v>0</v>
      </c>
      <c r="AR49" s="295">
        <v>0</v>
      </c>
      <c r="AS49" s="295">
        <v>0</v>
      </c>
      <c r="AT49" s="295">
        <v>0</v>
      </c>
      <c r="AU49" s="295">
        <v>0</v>
      </c>
      <c r="AV49" s="295">
        <v>0</v>
      </c>
      <c r="AW49" s="295">
        <v>0</v>
      </c>
      <c r="AX49" s="295">
        <v>0</v>
      </c>
      <c r="AY49" s="295">
        <v>0</v>
      </c>
      <c r="AZ49" s="295">
        <v>0</v>
      </c>
      <c r="BA49" s="295">
        <v>0</v>
      </c>
      <c r="BB49" s="295">
        <v>0</v>
      </c>
      <c r="BC49" s="295"/>
      <c r="BD49" s="295"/>
      <c r="BE49" s="295"/>
      <c r="BF49" s="295"/>
      <c r="BG49" s="300">
        <f t="shared" ref="BG49:BH50" si="60">80000000/3</f>
        <v>26666666.666666668</v>
      </c>
      <c r="BH49" s="300">
        <f t="shared" si="60"/>
        <v>26666666.666666668</v>
      </c>
      <c r="BI49" s="295">
        <v>0</v>
      </c>
      <c r="BJ49" s="295">
        <v>0</v>
      </c>
      <c r="BK49" s="295">
        <v>0</v>
      </c>
      <c r="BL49" s="295">
        <v>0</v>
      </c>
      <c r="BM49" s="295">
        <v>0</v>
      </c>
      <c r="BN49" s="295">
        <v>0</v>
      </c>
      <c r="BO49" s="295">
        <v>0</v>
      </c>
      <c r="BP49" s="295">
        <v>0</v>
      </c>
      <c r="BQ49" s="295">
        <v>0</v>
      </c>
      <c r="BR49" s="295">
        <v>0</v>
      </c>
      <c r="BS49" s="300">
        <v>0</v>
      </c>
      <c r="BT49" s="300">
        <v>0</v>
      </c>
      <c r="BU49" s="300">
        <v>0</v>
      </c>
      <c r="BV49" s="300">
        <v>0</v>
      </c>
      <c r="BW49" s="295">
        <v>0</v>
      </c>
      <c r="BX49" s="295">
        <v>0</v>
      </c>
      <c r="BY49" s="295">
        <v>0</v>
      </c>
      <c r="BZ49" s="295">
        <v>0</v>
      </c>
      <c r="CA49" s="295">
        <v>0</v>
      </c>
      <c r="CB49" s="295">
        <v>0</v>
      </c>
      <c r="CC49" s="295">
        <v>0</v>
      </c>
      <c r="CD49" s="295">
        <v>0</v>
      </c>
      <c r="CE49" s="295">
        <v>0</v>
      </c>
      <c r="CF49" s="295">
        <v>0</v>
      </c>
      <c r="CG49" s="295">
        <v>0</v>
      </c>
      <c r="CH49" s="295">
        <v>0</v>
      </c>
      <c r="CI49" s="295">
        <v>0</v>
      </c>
      <c r="CJ49" s="295">
        <v>0</v>
      </c>
      <c r="CK49" s="295">
        <v>0</v>
      </c>
      <c r="CL49" s="295">
        <v>0</v>
      </c>
      <c r="CM49" s="295">
        <v>0</v>
      </c>
      <c r="CN49" s="295">
        <v>0</v>
      </c>
      <c r="CO49" s="295">
        <v>0</v>
      </c>
      <c r="CP49" s="295">
        <v>0</v>
      </c>
      <c r="CQ49" s="295">
        <v>0</v>
      </c>
      <c r="CR49" s="295">
        <v>0</v>
      </c>
      <c r="CS49" s="295">
        <v>0</v>
      </c>
      <c r="CT49" s="295">
        <v>0</v>
      </c>
      <c r="CU49" s="295">
        <v>0</v>
      </c>
      <c r="CV49" s="295">
        <v>0</v>
      </c>
      <c r="CW49" s="295">
        <v>0</v>
      </c>
      <c r="CX49" s="295">
        <v>0</v>
      </c>
      <c r="CY49" s="295">
        <v>0</v>
      </c>
      <c r="CZ49" s="295">
        <v>0</v>
      </c>
      <c r="DA49" s="295">
        <v>0</v>
      </c>
      <c r="DB49" s="295">
        <v>0</v>
      </c>
      <c r="DC49" s="295">
        <v>0</v>
      </c>
      <c r="DD49" s="295">
        <v>0</v>
      </c>
      <c r="DE49" s="295">
        <v>0</v>
      </c>
      <c r="DF49" s="295">
        <v>0</v>
      </c>
      <c r="DG49" s="295">
        <v>0</v>
      </c>
      <c r="DH49" s="295">
        <v>0</v>
      </c>
      <c r="DI49" s="295">
        <v>0</v>
      </c>
      <c r="DJ49" s="295">
        <v>0</v>
      </c>
      <c r="DK49" s="295">
        <v>0</v>
      </c>
      <c r="DL49" s="295">
        <v>0</v>
      </c>
      <c r="DM49" s="295">
        <v>0</v>
      </c>
      <c r="DN49" s="295">
        <v>0</v>
      </c>
      <c r="DO49" s="295">
        <v>0</v>
      </c>
      <c r="DP49" s="295">
        <v>0</v>
      </c>
      <c r="DQ49" s="295">
        <v>0</v>
      </c>
      <c r="DR49" s="295">
        <v>0</v>
      </c>
      <c r="DS49" s="295">
        <v>0</v>
      </c>
      <c r="DT49" s="295">
        <v>0</v>
      </c>
      <c r="DU49" s="295">
        <v>0</v>
      </c>
      <c r="DV49" s="295">
        <v>0</v>
      </c>
      <c r="DW49" s="296">
        <f t="shared" si="40"/>
        <v>1500000000.0000002</v>
      </c>
      <c r="DX49" s="296">
        <f t="shared" si="40"/>
        <v>1362112268.6466668</v>
      </c>
      <c r="DY49" s="296">
        <f t="shared" si="40"/>
        <v>121203553.11333333</v>
      </c>
      <c r="DZ49" s="296">
        <f t="shared" si="40"/>
        <v>117715648.8</v>
      </c>
      <c r="EA49" s="287"/>
    </row>
    <row r="50" spans="1:132" ht="45.75" customHeight="1" x14ac:dyDescent="0.2">
      <c r="A50" s="305" t="s">
        <v>2028</v>
      </c>
      <c r="B50" s="301"/>
      <c r="C50" s="306">
        <f t="shared" si="54"/>
        <v>640000000</v>
      </c>
      <c r="D50" s="306">
        <f t="shared" si="55"/>
        <v>569179117.64666665</v>
      </c>
      <c r="E50" s="306">
        <f t="shared" si="56"/>
        <v>121203553.11333333</v>
      </c>
      <c r="F50" s="306">
        <f t="shared" si="57"/>
        <v>117715648.8</v>
      </c>
      <c r="G50" s="306">
        <f t="shared" si="58"/>
        <v>833333333.33333337</v>
      </c>
      <c r="H50" s="306">
        <f t="shared" si="59"/>
        <v>766266484.33333337</v>
      </c>
      <c r="I50" s="300">
        <v>0</v>
      </c>
      <c r="J50" s="300">
        <v>0</v>
      </c>
      <c r="K50" s="300">
        <v>0</v>
      </c>
      <c r="L50" s="300">
        <v>0</v>
      </c>
      <c r="M50" s="300">
        <v>0</v>
      </c>
      <c r="N50" s="300">
        <v>0</v>
      </c>
      <c r="O50" s="300">
        <v>0</v>
      </c>
      <c r="P50" s="300">
        <v>0</v>
      </c>
      <c r="Q50" s="300">
        <v>0</v>
      </c>
      <c r="R50" s="300">
        <v>0</v>
      </c>
      <c r="S50" s="300">
        <v>0</v>
      </c>
      <c r="T50" s="300">
        <v>0</v>
      </c>
      <c r="U50" s="300">
        <v>0</v>
      </c>
      <c r="V50" s="300">
        <v>0</v>
      </c>
      <c r="W50" s="300">
        <v>0</v>
      </c>
      <c r="X50" s="300">
        <v>0</v>
      </c>
      <c r="Y50" s="300">
        <v>0</v>
      </c>
      <c r="Z50" s="300">
        <v>0</v>
      </c>
      <c r="AA50" s="300">
        <v>0</v>
      </c>
      <c r="AB50" s="300">
        <v>0</v>
      </c>
      <c r="AC50" s="300">
        <v>0</v>
      </c>
      <c r="AD50" s="300">
        <v>0</v>
      </c>
      <c r="AE50" s="300">
        <v>0</v>
      </c>
      <c r="AF50" s="300">
        <v>0</v>
      </c>
      <c r="AG50" s="300">
        <v>0</v>
      </c>
      <c r="AH50" s="300">
        <v>0</v>
      </c>
      <c r="AI50" s="300">
        <v>0</v>
      </c>
      <c r="AJ50" s="300">
        <v>0</v>
      </c>
      <c r="AK50" s="300">
        <v>0</v>
      </c>
      <c r="AL50" s="300">
        <v>0</v>
      </c>
      <c r="AM50" s="300">
        <v>0</v>
      </c>
      <c r="AN50" s="300">
        <v>0</v>
      </c>
      <c r="AO50" s="300">
        <v>0</v>
      </c>
      <c r="AP50" s="300">
        <v>0</v>
      </c>
      <c r="AQ50" s="300">
        <v>0</v>
      </c>
      <c r="AR50" s="300">
        <v>0</v>
      </c>
      <c r="AS50" s="300">
        <v>0</v>
      </c>
      <c r="AT50" s="300">
        <v>0</v>
      </c>
      <c r="AU50" s="300">
        <v>0</v>
      </c>
      <c r="AV50" s="300">
        <v>0</v>
      </c>
      <c r="AW50" s="300">
        <v>0</v>
      </c>
      <c r="AX50" s="300">
        <v>0</v>
      </c>
      <c r="AY50" s="300">
        <v>0</v>
      </c>
      <c r="AZ50" s="300">
        <v>0</v>
      </c>
      <c r="BA50" s="300">
        <v>0</v>
      </c>
      <c r="BB50" s="300">
        <v>0</v>
      </c>
      <c r="BC50" s="306"/>
      <c r="BD50" s="306"/>
      <c r="BE50" s="306"/>
      <c r="BF50" s="306"/>
      <c r="BG50" s="300">
        <f t="shared" si="60"/>
        <v>26666666.666666668</v>
      </c>
      <c r="BH50" s="300">
        <f t="shared" si="60"/>
        <v>26666666.666666668</v>
      </c>
      <c r="BI50" s="300">
        <v>0</v>
      </c>
      <c r="BJ50" s="300">
        <v>0</v>
      </c>
      <c r="BK50" s="300">
        <v>0</v>
      </c>
      <c r="BL50" s="300">
        <v>0</v>
      </c>
      <c r="BM50" s="300">
        <v>0</v>
      </c>
      <c r="BN50" s="300">
        <v>0</v>
      </c>
      <c r="BO50" s="300">
        <v>0</v>
      </c>
      <c r="BP50" s="300">
        <v>0</v>
      </c>
      <c r="BQ50" s="300">
        <v>0</v>
      </c>
      <c r="BR50" s="300">
        <v>0</v>
      </c>
      <c r="BS50" s="300">
        <v>0</v>
      </c>
      <c r="BT50" s="300">
        <v>0</v>
      </c>
      <c r="BU50" s="300">
        <v>0</v>
      </c>
      <c r="BV50" s="300">
        <v>0</v>
      </c>
      <c r="BW50" s="300">
        <v>0</v>
      </c>
      <c r="BX50" s="300">
        <v>0</v>
      </c>
      <c r="BY50" s="300">
        <v>0</v>
      </c>
      <c r="BZ50" s="300">
        <v>0</v>
      </c>
      <c r="CA50" s="300">
        <v>0</v>
      </c>
      <c r="CB50" s="300">
        <v>0</v>
      </c>
      <c r="CC50" s="300">
        <v>0</v>
      </c>
      <c r="CD50" s="300">
        <v>0</v>
      </c>
      <c r="CE50" s="300">
        <v>0</v>
      </c>
      <c r="CF50" s="300">
        <v>0</v>
      </c>
      <c r="CG50" s="300">
        <v>0</v>
      </c>
      <c r="CH50" s="300">
        <v>0</v>
      </c>
      <c r="CI50" s="300">
        <v>0</v>
      </c>
      <c r="CJ50" s="300">
        <v>0</v>
      </c>
      <c r="CK50" s="300">
        <v>0</v>
      </c>
      <c r="CL50" s="300">
        <v>0</v>
      </c>
      <c r="CM50" s="300">
        <v>0</v>
      </c>
      <c r="CN50" s="300">
        <v>0</v>
      </c>
      <c r="CO50" s="300">
        <v>0</v>
      </c>
      <c r="CP50" s="300">
        <v>0</v>
      </c>
      <c r="CQ50" s="300">
        <v>0</v>
      </c>
      <c r="CR50" s="300">
        <v>0</v>
      </c>
      <c r="CS50" s="300">
        <v>0</v>
      </c>
      <c r="CT50" s="300">
        <v>0</v>
      </c>
      <c r="CU50" s="300">
        <v>0</v>
      </c>
      <c r="CV50" s="300">
        <v>0</v>
      </c>
      <c r="CW50" s="300">
        <v>0</v>
      </c>
      <c r="CX50" s="300">
        <v>0</v>
      </c>
      <c r="CY50" s="300">
        <v>0</v>
      </c>
      <c r="CZ50" s="300">
        <v>0</v>
      </c>
      <c r="DA50" s="300">
        <v>0</v>
      </c>
      <c r="DB50" s="300">
        <v>0</v>
      </c>
      <c r="DC50" s="300">
        <v>0</v>
      </c>
      <c r="DD50" s="300">
        <v>0</v>
      </c>
      <c r="DE50" s="300">
        <v>0</v>
      </c>
      <c r="DF50" s="300">
        <v>0</v>
      </c>
      <c r="DG50" s="300">
        <v>0</v>
      </c>
      <c r="DH50" s="300">
        <v>0</v>
      </c>
      <c r="DI50" s="300">
        <v>0</v>
      </c>
      <c r="DJ50" s="300">
        <v>0</v>
      </c>
      <c r="DK50" s="300">
        <v>0</v>
      </c>
      <c r="DL50" s="300">
        <v>0</v>
      </c>
      <c r="DM50" s="300">
        <v>0</v>
      </c>
      <c r="DN50" s="300">
        <v>0</v>
      </c>
      <c r="DO50" s="300">
        <v>0</v>
      </c>
      <c r="DP50" s="300">
        <v>0</v>
      </c>
      <c r="DQ50" s="300">
        <v>0</v>
      </c>
      <c r="DR50" s="300">
        <v>0</v>
      </c>
      <c r="DS50" s="300">
        <v>0</v>
      </c>
      <c r="DT50" s="300">
        <v>0</v>
      </c>
      <c r="DU50" s="300">
        <v>0</v>
      </c>
      <c r="DV50" s="300">
        <v>0</v>
      </c>
      <c r="DW50" s="296">
        <f t="shared" si="40"/>
        <v>1500000000.0000002</v>
      </c>
      <c r="DX50" s="296">
        <f t="shared" si="40"/>
        <v>1362112268.6466668</v>
      </c>
      <c r="DY50" s="296">
        <f t="shared" si="40"/>
        <v>121203553.11333333</v>
      </c>
      <c r="DZ50" s="296">
        <f t="shared" si="40"/>
        <v>117715648.8</v>
      </c>
      <c r="EA50" s="302">
        <f>+SUM(DW48:DW50)-B48</f>
        <v>0</v>
      </c>
    </row>
    <row r="51" spans="1:132" s="283" customFormat="1" ht="45.75" customHeight="1" x14ac:dyDescent="0.2">
      <c r="A51" s="280" t="s">
        <v>115</v>
      </c>
      <c r="B51" s="281">
        <f>+B52</f>
        <v>27179932580.260002</v>
      </c>
      <c r="C51" s="281">
        <f t="shared" ref="C51:DV51" si="61">+C52</f>
        <v>2542000000</v>
      </c>
      <c r="D51" s="281">
        <f t="shared" si="61"/>
        <v>2180011020.8200002</v>
      </c>
      <c r="E51" s="281">
        <f t="shared" si="61"/>
        <v>1158038148.6600001</v>
      </c>
      <c r="F51" s="281">
        <f t="shared" si="61"/>
        <v>1143474845.72</v>
      </c>
      <c r="G51" s="281">
        <f t="shared" si="61"/>
        <v>2533169452.5999999</v>
      </c>
      <c r="H51" s="281">
        <f t="shared" si="61"/>
        <v>300000000</v>
      </c>
      <c r="I51" s="281">
        <f t="shared" si="61"/>
        <v>0</v>
      </c>
      <c r="J51" s="281">
        <f t="shared" si="61"/>
        <v>0</v>
      </c>
      <c r="K51" s="281">
        <f t="shared" si="61"/>
        <v>0</v>
      </c>
      <c r="L51" s="281">
        <f t="shared" si="61"/>
        <v>0</v>
      </c>
      <c r="M51" s="281">
        <f t="shared" si="61"/>
        <v>0</v>
      </c>
      <c r="N51" s="281">
        <f t="shared" si="61"/>
        <v>0</v>
      </c>
      <c r="O51" s="281">
        <f t="shared" si="61"/>
        <v>0</v>
      </c>
      <c r="P51" s="281">
        <f t="shared" si="61"/>
        <v>0</v>
      </c>
      <c r="Q51" s="281">
        <f t="shared" si="61"/>
        <v>0</v>
      </c>
      <c r="R51" s="281">
        <f t="shared" si="61"/>
        <v>0</v>
      </c>
      <c r="S51" s="281">
        <f t="shared" si="61"/>
        <v>0</v>
      </c>
      <c r="T51" s="281">
        <f t="shared" si="61"/>
        <v>0</v>
      </c>
      <c r="U51" s="281">
        <f t="shared" si="61"/>
        <v>0</v>
      </c>
      <c r="V51" s="281">
        <f t="shared" si="61"/>
        <v>0</v>
      </c>
      <c r="W51" s="281">
        <f t="shared" si="61"/>
        <v>0</v>
      </c>
      <c r="X51" s="281">
        <f t="shared" si="61"/>
        <v>0</v>
      </c>
      <c r="Y51" s="281">
        <f t="shared" si="61"/>
        <v>0</v>
      </c>
      <c r="Z51" s="281">
        <f t="shared" si="61"/>
        <v>0</v>
      </c>
      <c r="AA51" s="281">
        <f t="shared" si="61"/>
        <v>0</v>
      </c>
      <c r="AB51" s="281">
        <f t="shared" si="61"/>
        <v>0</v>
      </c>
      <c r="AC51" s="281">
        <f t="shared" si="61"/>
        <v>0</v>
      </c>
      <c r="AD51" s="281">
        <f t="shared" si="61"/>
        <v>0</v>
      </c>
      <c r="AE51" s="281">
        <f t="shared" si="61"/>
        <v>0</v>
      </c>
      <c r="AF51" s="281">
        <f t="shared" si="61"/>
        <v>0</v>
      </c>
      <c r="AG51" s="281">
        <f t="shared" si="61"/>
        <v>0</v>
      </c>
      <c r="AH51" s="281">
        <f t="shared" si="61"/>
        <v>0</v>
      </c>
      <c r="AI51" s="281">
        <f t="shared" si="61"/>
        <v>0</v>
      </c>
      <c r="AJ51" s="281">
        <f t="shared" si="61"/>
        <v>0</v>
      </c>
      <c r="AK51" s="281">
        <f t="shared" si="61"/>
        <v>0</v>
      </c>
      <c r="AL51" s="281">
        <f t="shared" si="61"/>
        <v>0</v>
      </c>
      <c r="AM51" s="281">
        <f t="shared" si="61"/>
        <v>560000000</v>
      </c>
      <c r="AN51" s="281">
        <f t="shared" si="61"/>
        <v>167757271</v>
      </c>
      <c r="AO51" s="281">
        <f t="shared" si="61"/>
        <v>68160172</v>
      </c>
      <c r="AP51" s="281">
        <f t="shared" si="61"/>
        <v>57890314</v>
      </c>
      <c r="AQ51" s="281">
        <f t="shared" si="61"/>
        <v>0</v>
      </c>
      <c r="AR51" s="281">
        <f t="shared" si="61"/>
        <v>0</v>
      </c>
      <c r="AS51" s="281">
        <f t="shared" si="61"/>
        <v>0</v>
      </c>
      <c r="AT51" s="281">
        <f t="shared" si="61"/>
        <v>0</v>
      </c>
      <c r="AU51" s="281">
        <f t="shared" si="61"/>
        <v>0</v>
      </c>
      <c r="AV51" s="281">
        <f t="shared" si="61"/>
        <v>0</v>
      </c>
      <c r="AW51" s="281">
        <f t="shared" si="61"/>
        <v>0</v>
      </c>
      <c r="AX51" s="281">
        <f t="shared" si="61"/>
        <v>0</v>
      </c>
      <c r="AY51" s="281">
        <f t="shared" si="61"/>
        <v>0</v>
      </c>
      <c r="AZ51" s="281">
        <f t="shared" si="61"/>
        <v>0</v>
      </c>
      <c r="BA51" s="281">
        <f t="shared" si="61"/>
        <v>0</v>
      </c>
      <c r="BB51" s="281">
        <f t="shared" si="61"/>
        <v>0</v>
      </c>
      <c r="BC51" s="281">
        <f t="shared" si="61"/>
        <v>21130763127.66</v>
      </c>
      <c r="BD51" s="281">
        <f t="shared" si="61"/>
        <v>19599081727.169998</v>
      </c>
      <c r="BE51" s="281">
        <f t="shared" si="61"/>
        <v>4495485960.5199995</v>
      </c>
      <c r="BF51" s="281">
        <f t="shared" si="61"/>
        <v>4126185087.52</v>
      </c>
      <c r="BG51" s="281">
        <f t="shared" si="61"/>
        <v>0</v>
      </c>
      <c r="BH51" s="281">
        <f t="shared" si="61"/>
        <v>0</v>
      </c>
      <c r="BI51" s="281">
        <f t="shared" si="61"/>
        <v>0</v>
      </c>
      <c r="BJ51" s="281">
        <f t="shared" si="61"/>
        <v>0</v>
      </c>
      <c r="BK51" s="281">
        <f t="shared" si="61"/>
        <v>350000000</v>
      </c>
      <c r="BL51" s="281">
        <f t="shared" si="61"/>
        <v>300000000</v>
      </c>
      <c r="BM51" s="281">
        <f t="shared" si="61"/>
        <v>0</v>
      </c>
      <c r="BN51" s="281">
        <f t="shared" si="61"/>
        <v>0</v>
      </c>
      <c r="BO51" s="281">
        <f t="shared" si="61"/>
        <v>0</v>
      </c>
      <c r="BP51" s="281">
        <f t="shared" si="61"/>
        <v>0</v>
      </c>
      <c r="BQ51" s="281">
        <f t="shared" si="61"/>
        <v>0</v>
      </c>
      <c r="BR51" s="281">
        <f t="shared" si="61"/>
        <v>0</v>
      </c>
      <c r="BS51" s="281">
        <f t="shared" si="61"/>
        <v>0</v>
      </c>
      <c r="BT51" s="281">
        <f t="shared" si="61"/>
        <v>0</v>
      </c>
      <c r="BU51" s="281">
        <f t="shared" si="61"/>
        <v>0</v>
      </c>
      <c r="BV51" s="281">
        <f t="shared" si="61"/>
        <v>0</v>
      </c>
      <c r="BW51" s="281">
        <f t="shared" si="61"/>
        <v>0</v>
      </c>
      <c r="BX51" s="281">
        <f t="shared" si="61"/>
        <v>0</v>
      </c>
      <c r="BY51" s="281">
        <f t="shared" si="61"/>
        <v>0</v>
      </c>
      <c r="BZ51" s="281">
        <f t="shared" si="61"/>
        <v>0</v>
      </c>
      <c r="CA51" s="281">
        <f t="shared" si="61"/>
        <v>0</v>
      </c>
      <c r="CB51" s="281">
        <f t="shared" si="61"/>
        <v>0</v>
      </c>
      <c r="CC51" s="281">
        <f t="shared" si="61"/>
        <v>0</v>
      </c>
      <c r="CD51" s="281">
        <f t="shared" si="61"/>
        <v>0</v>
      </c>
      <c r="CE51" s="281">
        <f t="shared" si="61"/>
        <v>0</v>
      </c>
      <c r="CF51" s="281">
        <f t="shared" si="61"/>
        <v>0</v>
      </c>
      <c r="CG51" s="281">
        <f t="shared" si="61"/>
        <v>0</v>
      </c>
      <c r="CH51" s="281">
        <f t="shared" si="61"/>
        <v>0</v>
      </c>
      <c r="CI51" s="281">
        <f t="shared" si="61"/>
        <v>0</v>
      </c>
      <c r="CJ51" s="281">
        <f t="shared" si="61"/>
        <v>0</v>
      </c>
      <c r="CK51" s="281">
        <f t="shared" si="61"/>
        <v>0</v>
      </c>
      <c r="CL51" s="281">
        <f t="shared" si="61"/>
        <v>0</v>
      </c>
      <c r="CM51" s="281">
        <f t="shared" si="61"/>
        <v>56000000</v>
      </c>
      <c r="CN51" s="281">
        <f t="shared" si="61"/>
        <v>0</v>
      </c>
      <c r="CO51" s="281">
        <f t="shared" si="61"/>
        <v>0</v>
      </c>
      <c r="CP51" s="281">
        <f t="shared" si="61"/>
        <v>0</v>
      </c>
      <c r="CQ51" s="281">
        <f t="shared" si="61"/>
        <v>0</v>
      </c>
      <c r="CR51" s="281">
        <f t="shared" si="61"/>
        <v>0</v>
      </c>
      <c r="CS51" s="281">
        <f t="shared" si="61"/>
        <v>0</v>
      </c>
      <c r="CT51" s="281">
        <f t="shared" si="61"/>
        <v>0</v>
      </c>
      <c r="CU51" s="281">
        <f t="shared" si="61"/>
        <v>0</v>
      </c>
      <c r="CV51" s="281">
        <f t="shared" si="61"/>
        <v>0</v>
      </c>
      <c r="CW51" s="281">
        <f t="shared" si="61"/>
        <v>0</v>
      </c>
      <c r="CX51" s="281">
        <f t="shared" si="61"/>
        <v>0</v>
      </c>
      <c r="CY51" s="281">
        <f t="shared" si="61"/>
        <v>0</v>
      </c>
      <c r="CZ51" s="281">
        <f t="shared" si="61"/>
        <v>0</v>
      </c>
      <c r="DA51" s="281">
        <f t="shared" si="61"/>
        <v>0</v>
      </c>
      <c r="DB51" s="281">
        <f t="shared" si="61"/>
        <v>0</v>
      </c>
      <c r="DC51" s="281">
        <f t="shared" si="61"/>
        <v>0</v>
      </c>
      <c r="DD51" s="281">
        <f t="shared" si="61"/>
        <v>0</v>
      </c>
      <c r="DE51" s="281">
        <f t="shared" si="61"/>
        <v>0</v>
      </c>
      <c r="DF51" s="281">
        <f t="shared" si="61"/>
        <v>0</v>
      </c>
      <c r="DG51" s="281">
        <f t="shared" si="61"/>
        <v>0</v>
      </c>
      <c r="DH51" s="281">
        <f t="shared" si="61"/>
        <v>0</v>
      </c>
      <c r="DI51" s="281">
        <f t="shared" si="61"/>
        <v>0</v>
      </c>
      <c r="DJ51" s="281">
        <f t="shared" si="61"/>
        <v>0</v>
      </c>
      <c r="DK51" s="281">
        <f t="shared" si="61"/>
        <v>0</v>
      </c>
      <c r="DL51" s="281">
        <f t="shared" si="61"/>
        <v>0</v>
      </c>
      <c r="DM51" s="281">
        <f t="shared" si="61"/>
        <v>0</v>
      </c>
      <c r="DN51" s="281">
        <f t="shared" si="61"/>
        <v>0</v>
      </c>
      <c r="DO51" s="281">
        <f t="shared" si="61"/>
        <v>8000000</v>
      </c>
      <c r="DP51" s="281">
        <f t="shared" si="61"/>
        <v>0</v>
      </c>
      <c r="DQ51" s="281">
        <f t="shared" si="61"/>
        <v>0</v>
      </c>
      <c r="DR51" s="281">
        <f t="shared" si="61"/>
        <v>0</v>
      </c>
      <c r="DS51" s="281">
        <f t="shared" si="61"/>
        <v>0</v>
      </c>
      <c r="DT51" s="281">
        <f t="shared" si="61"/>
        <v>0</v>
      </c>
      <c r="DU51" s="281">
        <f t="shared" si="61"/>
        <v>0</v>
      </c>
      <c r="DV51" s="281">
        <f t="shared" si="61"/>
        <v>0</v>
      </c>
      <c r="DW51" s="281">
        <f t="shared" si="40"/>
        <v>27179932580.260002</v>
      </c>
      <c r="DX51" s="281">
        <f t="shared" si="40"/>
        <v>22546850018.989998</v>
      </c>
      <c r="DY51" s="281">
        <f t="shared" si="40"/>
        <v>5721684281.1799994</v>
      </c>
      <c r="DZ51" s="281">
        <f t="shared" si="40"/>
        <v>5327550247.2399998</v>
      </c>
      <c r="EA51" s="282"/>
    </row>
    <row r="52" spans="1:132" ht="45.75" customHeight="1" x14ac:dyDescent="0.2">
      <c r="A52" s="284" t="s">
        <v>2029</v>
      </c>
      <c r="B52" s="285">
        <f t="shared" ref="B52:DV52" si="62">+B53+B57+B63</f>
        <v>27179932580.260002</v>
      </c>
      <c r="C52" s="285">
        <f t="shared" si="62"/>
        <v>2542000000</v>
      </c>
      <c r="D52" s="285">
        <f t="shared" si="62"/>
        <v>2180011020.8200002</v>
      </c>
      <c r="E52" s="285">
        <f t="shared" si="62"/>
        <v>1158038148.6600001</v>
      </c>
      <c r="F52" s="285">
        <f t="shared" si="62"/>
        <v>1143474845.72</v>
      </c>
      <c r="G52" s="285">
        <f t="shared" si="62"/>
        <v>2533169452.5999999</v>
      </c>
      <c r="H52" s="285">
        <f t="shared" si="62"/>
        <v>300000000</v>
      </c>
      <c r="I52" s="285">
        <f t="shared" si="62"/>
        <v>0</v>
      </c>
      <c r="J52" s="285">
        <f t="shared" si="62"/>
        <v>0</v>
      </c>
      <c r="K52" s="285">
        <f t="shared" si="62"/>
        <v>0</v>
      </c>
      <c r="L52" s="285">
        <f t="shared" si="62"/>
        <v>0</v>
      </c>
      <c r="M52" s="285">
        <f t="shared" si="62"/>
        <v>0</v>
      </c>
      <c r="N52" s="285">
        <f t="shared" si="62"/>
        <v>0</v>
      </c>
      <c r="O52" s="285">
        <f t="shared" si="62"/>
        <v>0</v>
      </c>
      <c r="P52" s="285">
        <f t="shared" si="62"/>
        <v>0</v>
      </c>
      <c r="Q52" s="285">
        <f t="shared" si="62"/>
        <v>0</v>
      </c>
      <c r="R52" s="285">
        <f t="shared" si="62"/>
        <v>0</v>
      </c>
      <c r="S52" s="285">
        <f t="shared" si="62"/>
        <v>0</v>
      </c>
      <c r="T52" s="285">
        <f t="shared" si="62"/>
        <v>0</v>
      </c>
      <c r="U52" s="285">
        <f t="shared" si="62"/>
        <v>0</v>
      </c>
      <c r="V52" s="285">
        <f t="shared" si="62"/>
        <v>0</v>
      </c>
      <c r="W52" s="285">
        <f t="shared" si="62"/>
        <v>0</v>
      </c>
      <c r="X52" s="285">
        <f t="shared" si="62"/>
        <v>0</v>
      </c>
      <c r="Y52" s="285">
        <f t="shared" si="62"/>
        <v>0</v>
      </c>
      <c r="Z52" s="285">
        <f t="shared" si="62"/>
        <v>0</v>
      </c>
      <c r="AA52" s="285">
        <f t="shared" si="62"/>
        <v>0</v>
      </c>
      <c r="AB52" s="285">
        <f t="shared" si="62"/>
        <v>0</v>
      </c>
      <c r="AC52" s="285">
        <f t="shared" si="62"/>
        <v>0</v>
      </c>
      <c r="AD52" s="285">
        <f t="shared" si="62"/>
        <v>0</v>
      </c>
      <c r="AE52" s="285">
        <f t="shared" si="62"/>
        <v>0</v>
      </c>
      <c r="AF52" s="285">
        <f t="shared" si="62"/>
        <v>0</v>
      </c>
      <c r="AG52" s="285">
        <f t="shared" si="62"/>
        <v>0</v>
      </c>
      <c r="AH52" s="285">
        <f t="shared" si="62"/>
        <v>0</v>
      </c>
      <c r="AI52" s="285">
        <f t="shared" si="62"/>
        <v>0</v>
      </c>
      <c r="AJ52" s="285">
        <f t="shared" si="62"/>
        <v>0</v>
      </c>
      <c r="AK52" s="285">
        <f t="shared" si="62"/>
        <v>0</v>
      </c>
      <c r="AL52" s="285">
        <f t="shared" si="62"/>
        <v>0</v>
      </c>
      <c r="AM52" s="285">
        <f t="shared" si="62"/>
        <v>560000000</v>
      </c>
      <c r="AN52" s="285">
        <f t="shared" si="62"/>
        <v>167757271</v>
      </c>
      <c r="AO52" s="285">
        <f t="shared" si="62"/>
        <v>68160172</v>
      </c>
      <c r="AP52" s="285">
        <f t="shared" si="62"/>
        <v>57890314</v>
      </c>
      <c r="AQ52" s="285">
        <f t="shared" si="62"/>
        <v>0</v>
      </c>
      <c r="AR52" s="285">
        <f t="shared" si="62"/>
        <v>0</v>
      </c>
      <c r="AS52" s="285">
        <f t="shared" si="62"/>
        <v>0</v>
      </c>
      <c r="AT52" s="285">
        <f t="shared" si="62"/>
        <v>0</v>
      </c>
      <c r="AU52" s="285">
        <f t="shared" si="62"/>
        <v>0</v>
      </c>
      <c r="AV52" s="285">
        <f t="shared" si="62"/>
        <v>0</v>
      </c>
      <c r="AW52" s="285">
        <f t="shared" si="62"/>
        <v>0</v>
      </c>
      <c r="AX52" s="285">
        <f t="shared" si="62"/>
        <v>0</v>
      </c>
      <c r="AY52" s="285">
        <f t="shared" si="62"/>
        <v>0</v>
      </c>
      <c r="AZ52" s="285">
        <f t="shared" si="62"/>
        <v>0</v>
      </c>
      <c r="BA52" s="285">
        <f t="shared" si="62"/>
        <v>0</v>
      </c>
      <c r="BB52" s="285">
        <f t="shared" si="62"/>
        <v>0</v>
      </c>
      <c r="BC52" s="285">
        <f t="shared" si="62"/>
        <v>21130763127.66</v>
      </c>
      <c r="BD52" s="285">
        <f t="shared" si="62"/>
        <v>19599081727.169998</v>
      </c>
      <c r="BE52" s="285">
        <f t="shared" si="62"/>
        <v>4495485960.5199995</v>
      </c>
      <c r="BF52" s="285">
        <f t="shared" si="62"/>
        <v>4126185087.52</v>
      </c>
      <c r="BG52" s="285">
        <f t="shared" si="62"/>
        <v>0</v>
      </c>
      <c r="BH52" s="285">
        <f t="shared" si="62"/>
        <v>0</v>
      </c>
      <c r="BI52" s="285">
        <f t="shared" si="62"/>
        <v>0</v>
      </c>
      <c r="BJ52" s="285">
        <f t="shared" si="62"/>
        <v>0</v>
      </c>
      <c r="BK52" s="285">
        <f t="shared" si="62"/>
        <v>350000000</v>
      </c>
      <c r="BL52" s="285">
        <f t="shared" si="62"/>
        <v>300000000</v>
      </c>
      <c r="BM52" s="285">
        <f t="shared" si="62"/>
        <v>0</v>
      </c>
      <c r="BN52" s="285">
        <f t="shared" si="62"/>
        <v>0</v>
      </c>
      <c r="BO52" s="285">
        <f t="shared" si="62"/>
        <v>0</v>
      </c>
      <c r="BP52" s="285">
        <f t="shared" si="62"/>
        <v>0</v>
      </c>
      <c r="BQ52" s="285">
        <f t="shared" si="62"/>
        <v>0</v>
      </c>
      <c r="BR52" s="285">
        <f t="shared" si="62"/>
        <v>0</v>
      </c>
      <c r="BS52" s="285">
        <f t="shared" si="62"/>
        <v>0</v>
      </c>
      <c r="BT52" s="285">
        <f t="shared" si="62"/>
        <v>0</v>
      </c>
      <c r="BU52" s="285">
        <f t="shared" si="62"/>
        <v>0</v>
      </c>
      <c r="BV52" s="285">
        <f t="shared" si="62"/>
        <v>0</v>
      </c>
      <c r="BW52" s="285">
        <f t="shared" si="62"/>
        <v>0</v>
      </c>
      <c r="BX52" s="285">
        <f t="shared" si="62"/>
        <v>0</v>
      </c>
      <c r="BY52" s="285">
        <f t="shared" si="62"/>
        <v>0</v>
      </c>
      <c r="BZ52" s="285">
        <f t="shared" si="62"/>
        <v>0</v>
      </c>
      <c r="CA52" s="285">
        <f t="shared" si="62"/>
        <v>0</v>
      </c>
      <c r="CB52" s="285">
        <f t="shared" si="62"/>
        <v>0</v>
      </c>
      <c r="CC52" s="285">
        <f t="shared" si="62"/>
        <v>0</v>
      </c>
      <c r="CD52" s="285">
        <f t="shared" si="62"/>
        <v>0</v>
      </c>
      <c r="CE52" s="285">
        <f t="shared" si="62"/>
        <v>0</v>
      </c>
      <c r="CF52" s="285">
        <f t="shared" si="62"/>
        <v>0</v>
      </c>
      <c r="CG52" s="285">
        <f t="shared" si="62"/>
        <v>0</v>
      </c>
      <c r="CH52" s="285">
        <f t="shared" si="62"/>
        <v>0</v>
      </c>
      <c r="CI52" s="285">
        <f t="shared" si="62"/>
        <v>0</v>
      </c>
      <c r="CJ52" s="285">
        <f t="shared" si="62"/>
        <v>0</v>
      </c>
      <c r="CK52" s="285">
        <f t="shared" si="62"/>
        <v>0</v>
      </c>
      <c r="CL52" s="285">
        <f t="shared" si="62"/>
        <v>0</v>
      </c>
      <c r="CM52" s="285">
        <f t="shared" si="62"/>
        <v>56000000</v>
      </c>
      <c r="CN52" s="285">
        <f t="shared" si="62"/>
        <v>0</v>
      </c>
      <c r="CO52" s="285">
        <f t="shared" si="62"/>
        <v>0</v>
      </c>
      <c r="CP52" s="285">
        <f t="shared" si="62"/>
        <v>0</v>
      </c>
      <c r="CQ52" s="285">
        <f t="shared" si="62"/>
        <v>0</v>
      </c>
      <c r="CR52" s="285">
        <f t="shared" si="62"/>
        <v>0</v>
      </c>
      <c r="CS52" s="285">
        <f t="shared" si="62"/>
        <v>0</v>
      </c>
      <c r="CT52" s="285">
        <f t="shared" si="62"/>
        <v>0</v>
      </c>
      <c r="CU52" s="285">
        <f t="shared" si="62"/>
        <v>0</v>
      </c>
      <c r="CV52" s="285">
        <f t="shared" si="62"/>
        <v>0</v>
      </c>
      <c r="CW52" s="285">
        <f t="shared" si="62"/>
        <v>0</v>
      </c>
      <c r="CX52" s="285">
        <f t="shared" si="62"/>
        <v>0</v>
      </c>
      <c r="CY52" s="285">
        <f t="shared" si="62"/>
        <v>0</v>
      </c>
      <c r="CZ52" s="285">
        <f t="shared" si="62"/>
        <v>0</v>
      </c>
      <c r="DA52" s="285">
        <f t="shared" si="62"/>
        <v>0</v>
      </c>
      <c r="DB52" s="285">
        <f t="shared" si="62"/>
        <v>0</v>
      </c>
      <c r="DC52" s="285">
        <f t="shared" si="62"/>
        <v>0</v>
      </c>
      <c r="DD52" s="285">
        <f t="shared" si="62"/>
        <v>0</v>
      </c>
      <c r="DE52" s="285">
        <f t="shared" si="62"/>
        <v>0</v>
      </c>
      <c r="DF52" s="285">
        <f t="shared" si="62"/>
        <v>0</v>
      </c>
      <c r="DG52" s="285">
        <f t="shared" si="62"/>
        <v>0</v>
      </c>
      <c r="DH52" s="285">
        <f t="shared" si="62"/>
        <v>0</v>
      </c>
      <c r="DI52" s="285">
        <f t="shared" si="62"/>
        <v>0</v>
      </c>
      <c r="DJ52" s="285">
        <f t="shared" si="62"/>
        <v>0</v>
      </c>
      <c r="DK52" s="285">
        <f t="shared" si="62"/>
        <v>0</v>
      </c>
      <c r="DL52" s="285">
        <f t="shared" si="62"/>
        <v>0</v>
      </c>
      <c r="DM52" s="285">
        <f t="shared" si="62"/>
        <v>0</v>
      </c>
      <c r="DN52" s="285">
        <f t="shared" si="62"/>
        <v>0</v>
      </c>
      <c r="DO52" s="285">
        <f t="shared" si="62"/>
        <v>8000000</v>
      </c>
      <c r="DP52" s="285">
        <f t="shared" si="62"/>
        <v>0</v>
      </c>
      <c r="DQ52" s="285">
        <f t="shared" si="62"/>
        <v>0</v>
      </c>
      <c r="DR52" s="285">
        <f t="shared" si="62"/>
        <v>0</v>
      </c>
      <c r="DS52" s="285">
        <f t="shared" si="62"/>
        <v>0</v>
      </c>
      <c r="DT52" s="285">
        <f t="shared" si="62"/>
        <v>0</v>
      </c>
      <c r="DU52" s="285">
        <f t="shared" si="62"/>
        <v>0</v>
      </c>
      <c r="DV52" s="285">
        <f t="shared" si="62"/>
        <v>0</v>
      </c>
      <c r="DW52" s="286">
        <f t="shared" si="40"/>
        <v>27179932580.260002</v>
      </c>
      <c r="DX52" s="286">
        <f t="shared" si="40"/>
        <v>22546850018.989998</v>
      </c>
      <c r="DY52" s="286">
        <f t="shared" si="40"/>
        <v>5721684281.1799994</v>
      </c>
      <c r="DZ52" s="286">
        <f t="shared" si="40"/>
        <v>5327550247.2399998</v>
      </c>
      <c r="EA52" s="287"/>
    </row>
    <row r="53" spans="1:132" ht="45.75" customHeight="1" x14ac:dyDescent="0.2">
      <c r="A53" s="303" t="s">
        <v>2030</v>
      </c>
      <c r="B53" s="290">
        <f t="shared" ref="B53:BJ53" si="63">SUM(B54:B56)</f>
        <v>14090865610.09</v>
      </c>
      <c r="C53" s="290">
        <f t="shared" si="63"/>
        <v>400000000</v>
      </c>
      <c r="D53" s="290">
        <f t="shared" si="63"/>
        <v>250869818.94</v>
      </c>
      <c r="E53" s="290">
        <f t="shared" si="63"/>
        <v>135837738.94</v>
      </c>
      <c r="F53" s="290">
        <f t="shared" si="63"/>
        <v>124992786</v>
      </c>
      <c r="G53" s="290">
        <f t="shared" si="63"/>
        <v>2383169452.5999999</v>
      </c>
      <c r="H53" s="290">
        <f t="shared" si="63"/>
        <v>300000000</v>
      </c>
      <c r="I53" s="290">
        <f t="shared" si="63"/>
        <v>0</v>
      </c>
      <c r="J53" s="290">
        <f t="shared" si="63"/>
        <v>0</v>
      </c>
      <c r="K53" s="290">
        <f t="shared" si="63"/>
        <v>0</v>
      </c>
      <c r="L53" s="290">
        <f t="shared" si="63"/>
        <v>0</v>
      </c>
      <c r="M53" s="290">
        <f t="shared" si="63"/>
        <v>0</v>
      </c>
      <c r="N53" s="290">
        <f t="shared" si="63"/>
        <v>0</v>
      </c>
      <c r="O53" s="290">
        <f t="shared" si="63"/>
        <v>0</v>
      </c>
      <c r="P53" s="290">
        <f t="shared" si="63"/>
        <v>0</v>
      </c>
      <c r="Q53" s="290">
        <f t="shared" si="63"/>
        <v>0</v>
      </c>
      <c r="R53" s="290">
        <f t="shared" si="63"/>
        <v>0</v>
      </c>
      <c r="S53" s="290">
        <f t="shared" si="63"/>
        <v>0</v>
      </c>
      <c r="T53" s="290">
        <f t="shared" si="63"/>
        <v>0</v>
      </c>
      <c r="U53" s="290">
        <f t="shared" si="63"/>
        <v>0</v>
      </c>
      <c r="V53" s="290">
        <f t="shared" si="63"/>
        <v>0</v>
      </c>
      <c r="W53" s="290">
        <f t="shared" si="63"/>
        <v>0</v>
      </c>
      <c r="X53" s="290">
        <f t="shared" si="63"/>
        <v>0</v>
      </c>
      <c r="Y53" s="290">
        <f t="shared" si="63"/>
        <v>0</v>
      </c>
      <c r="Z53" s="290">
        <f t="shared" si="63"/>
        <v>0</v>
      </c>
      <c r="AA53" s="290">
        <f t="shared" si="63"/>
        <v>0</v>
      </c>
      <c r="AB53" s="290">
        <f t="shared" si="63"/>
        <v>0</v>
      </c>
      <c r="AC53" s="290">
        <f t="shared" si="63"/>
        <v>0</v>
      </c>
      <c r="AD53" s="290">
        <f t="shared" si="63"/>
        <v>0</v>
      </c>
      <c r="AE53" s="290">
        <f t="shared" si="63"/>
        <v>0</v>
      </c>
      <c r="AF53" s="290">
        <f t="shared" si="63"/>
        <v>0</v>
      </c>
      <c r="AG53" s="290">
        <f t="shared" si="63"/>
        <v>0</v>
      </c>
      <c r="AH53" s="290">
        <f t="shared" si="63"/>
        <v>0</v>
      </c>
      <c r="AI53" s="290">
        <f t="shared" ref="AI53:AL53" si="64">SUM(AI54:AI56)</f>
        <v>0</v>
      </c>
      <c r="AJ53" s="290">
        <f t="shared" si="64"/>
        <v>0</v>
      </c>
      <c r="AK53" s="290">
        <f t="shared" si="64"/>
        <v>0</v>
      </c>
      <c r="AL53" s="290">
        <f t="shared" si="64"/>
        <v>0</v>
      </c>
      <c r="AM53" s="290">
        <f t="shared" si="63"/>
        <v>200000000</v>
      </c>
      <c r="AN53" s="290">
        <f t="shared" si="63"/>
        <v>38919320</v>
      </c>
      <c r="AO53" s="290">
        <f t="shared" si="63"/>
        <v>8000000</v>
      </c>
      <c r="AP53" s="290">
        <f t="shared" si="63"/>
        <v>8000000</v>
      </c>
      <c r="AQ53" s="290">
        <f t="shared" si="63"/>
        <v>0</v>
      </c>
      <c r="AR53" s="290">
        <f t="shared" si="63"/>
        <v>0</v>
      </c>
      <c r="AS53" s="290">
        <f t="shared" si="63"/>
        <v>0</v>
      </c>
      <c r="AT53" s="290">
        <f t="shared" si="63"/>
        <v>0</v>
      </c>
      <c r="AU53" s="290">
        <f t="shared" si="63"/>
        <v>0</v>
      </c>
      <c r="AV53" s="290">
        <f t="shared" si="63"/>
        <v>0</v>
      </c>
      <c r="AW53" s="290">
        <f t="shared" si="63"/>
        <v>0</v>
      </c>
      <c r="AX53" s="290">
        <f t="shared" si="63"/>
        <v>0</v>
      </c>
      <c r="AY53" s="290">
        <f t="shared" si="63"/>
        <v>0</v>
      </c>
      <c r="AZ53" s="290">
        <f t="shared" si="63"/>
        <v>0</v>
      </c>
      <c r="BA53" s="290">
        <f t="shared" si="63"/>
        <v>0</v>
      </c>
      <c r="BB53" s="290">
        <f t="shared" si="63"/>
        <v>0</v>
      </c>
      <c r="BC53" s="290">
        <f t="shared" si="63"/>
        <v>11107696157.49</v>
      </c>
      <c r="BD53" s="290">
        <f t="shared" si="63"/>
        <v>9576014757</v>
      </c>
      <c r="BE53" s="290">
        <f t="shared" si="63"/>
        <v>1828586869.5</v>
      </c>
      <c r="BF53" s="290">
        <f t="shared" si="63"/>
        <v>1828586869.5</v>
      </c>
      <c r="BG53" s="290">
        <f t="shared" si="63"/>
        <v>0</v>
      </c>
      <c r="BH53" s="290">
        <f t="shared" si="63"/>
        <v>0</v>
      </c>
      <c r="BI53" s="290">
        <f t="shared" si="63"/>
        <v>0</v>
      </c>
      <c r="BJ53" s="290">
        <f t="shared" si="63"/>
        <v>0</v>
      </c>
      <c r="BK53" s="290">
        <f t="shared" ref="BK53:DV53" si="65">SUM(BK54:BK56)</f>
        <v>0</v>
      </c>
      <c r="BL53" s="290">
        <f t="shared" si="65"/>
        <v>0</v>
      </c>
      <c r="BM53" s="290">
        <f t="shared" si="65"/>
        <v>0</v>
      </c>
      <c r="BN53" s="290">
        <f t="shared" si="65"/>
        <v>0</v>
      </c>
      <c r="BO53" s="290">
        <f t="shared" si="65"/>
        <v>0</v>
      </c>
      <c r="BP53" s="290">
        <f t="shared" si="65"/>
        <v>0</v>
      </c>
      <c r="BQ53" s="290">
        <f t="shared" si="65"/>
        <v>0</v>
      </c>
      <c r="BR53" s="290">
        <f t="shared" si="65"/>
        <v>0</v>
      </c>
      <c r="BS53" s="290">
        <f t="shared" si="65"/>
        <v>0</v>
      </c>
      <c r="BT53" s="290">
        <f t="shared" si="65"/>
        <v>0</v>
      </c>
      <c r="BU53" s="290">
        <f t="shared" si="65"/>
        <v>0</v>
      </c>
      <c r="BV53" s="290">
        <f t="shared" si="65"/>
        <v>0</v>
      </c>
      <c r="BW53" s="290">
        <f t="shared" si="65"/>
        <v>0</v>
      </c>
      <c r="BX53" s="290">
        <f t="shared" si="65"/>
        <v>0</v>
      </c>
      <c r="BY53" s="290">
        <f t="shared" si="65"/>
        <v>0</v>
      </c>
      <c r="BZ53" s="290">
        <f t="shared" si="65"/>
        <v>0</v>
      </c>
      <c r="CA53" s="290">
        <f t="shared" si="65"/>
        <v>0</v>
      </c>
      <c r="CB53" s="290">
        <f t="shared" si="65"/>
        <v>0</v>
      </c>
      <c r="CC53" s="290">
        <f t="shared" si="65"/>
        <v>0</v>
      </c>
      <c r="CD53" s="290">
        <f t="shared" si="65"/>
        <v>0</v>
      </c>
      <c r="CE53" s="290">
        <f t="shared" si="65"/>
        <v>0</v>
      </c>
      <c r="CF53" s="290">
        <f t="shared" si="65"/>
        <v>0</v>
      </c>
      <c r="CG53" s="290">
        <f t="shared" si="65"/>
        <v>0</v>
      </c>
      <c r="CH53" s="290">
        <f t="shared" si="65"/>
        <v>0</v>
      </c>
      <c r="CI53" s="290">
        <f t="shared" si="65"/>
        <v>0</v>
      </c>
      <c r="CJ53" s="290">
        <f t="shared" si="65"/>
        <v>0</v>
      </c>
      <c r="CK53" s="290">
        <f t="shared" si="65"/>
        <v>0</v>
      </c>
      <c r="CL53" s="290">
        <f t="shared" si="65"/>
        <v>0</v>
      </c>
      <c r="CM53" s="290">
        <f t="shared" si="65"/>
        <v>0</v>
      </c>
      <c r="CN53" s="290">
        <f t="shared" si="65"/>
        <v>0</v>
      </c>
      <c r="CO53" s="290">
        <f t="shared" si="65"/>
        <v>0</v>
      </c>
      <c r="CP53" s="290">
        <f t="shared" si="65"/>
        <v>0</v>
      </c>
      <c r="CQ53" s="290">
        <f t="shared" si="65"/>
        <v>0</v>
      </c>
      <c r="CR53" s="290">
        <f t="shared" si="65"/>
        <v>0</v>
      </c>
      <c r="CS53" s="290">
        <f t="shared" si="65"/>
        <v>0</v>
      </c>
      <c r="CT53" s="290">
        <f t="shared" si="65"/>
        <v>0</v>
      </c>
      <c r="CU53" s="290">
        <f t="shared" si="65"/>
        <v>0</v>
      </c>
      <c r="CV53" s="290">
        <f t="shared" si="65"/>
        <v>0</v>
      </c>
      <c r="CW53" s="290">
        <f t="shared" si="65"/>
        <v>0</v>
      </c>
      <c r="CX53" s="290">
        <f t="shared" si="65"/>
        <v>0</v>
      </c>
      <c r="CY53" s="290">
        <f t="shared" si="65"/>
        <v>0</v>
      </c>
      <c r="CZ53" s="290">
        <f t="shared" si="65"/>
        <v>0</v>
      </c>
      <c r="DA53" s="290">
        <f t="shared" si="65"/>
        <v>0</v>
      </c>
      <c r="DB53" s="290">
        <f t="shared" si="65"/>
        <v>0</v>
      </c>
      <c r="DC53" s="290">
        <f t="shared" si="65"/>
        <v>0</v>
      </c>
      <c r="DD53" s="290">
        <f t="shared" si="65"/>
        <v>0</v>
      </c>
      <c r="DE53" s="290">
        <f t="shared" si="65"/>
        <v>0</v>
      </c>
      <c r="DF53" s="290">
        <f t="shared" si="65"/>
        <v>0</v>
      </c>
      <c r="DG53" s="290">
        <f t="shared" si="65"/>
        <v>0</v>
      </c>
      <c r="DH53" s="290">
        <f t="shared" si="65"/>
        <v>0</v>
      </c>
      <c r="DI53" s="290">
        <f t="shared" si="65"/>
        <v>0</v>
      </c>
      <c r="DJ53" s="290">
        <f t="shared" si="65"/>
        <v>0</v>
      </c>
      <c r="DK53" s="290">
        <f t="shared" si="65"/>
        <v>0</v>
      </c>
      <c r="DL53" s="290">
        <f t="shared" si="65"/>
        <v>0</v>
      </c>
      <c r="DM53" s="290">
        <f t="shared" si="65"/>
        <v>0</v>
      </c>
      <c r="DN53" s="290">
        <f t="shared" si="65"/>
        <v>0</v>
      </c>
      <c r="DO53" s="290">
        <f t="shared" si="65"/>
        <v>0</v>
      </c>
      <c r="DP53" s="290">
        <f t="shared" si="65"/>
        <v>0</v>
      </c>
      <c r="DQ53" s="290">
        <f t="shared" si="65"/>
        <v>0</v>
      </c>
      <c r="DR53" s="290">
        <f t="shared" si="65"/>
        <v>0</v>
      </c>
      <c r="DS53" s="290">
        <f t="shared" si="65"/>
        <v>0</v>
      </c>
      <c r="DT53" s="290">
        <f t="shared" si="65"/>
        <v>0</v>
      </c>
      <c r="DU53" s="290">
        <f t="shared" si="65"/>
        <v>0</v>
      </c>
      <c r="DV53" s="290">
        <f t="shared" si="65"/>
        <v>0</v>
      </c>
      <c r="DW53" s="286">
        <f t="shared" si="40"/>
        <v>14090865610.09</v>
      </c>
      <c r="DX53" s="286">
        <f t="shared" si="40"/>
        <v>10165803895.940001</v>
      </c>
      <c r="DY53" s="286">
        <f t="shared" si="40"/>
        <v>1972424608.4400001</v>
      </c>
      <c r="DZ53" s="286">
        <f t="shared" si="40"/>
        <v>1961579655.5</v>
      </c>
      <c r="EA53" s="291">
        <f>+SUM(DW54:DW56)-DW53</f>
        <v>0</v>
      </c>
      <c r="EB53" s="292">
        <f>+DW53-B53</f>
        <v>0</v>
      </c>
    </row>
    <row r="54" spans="1:132" ht="45.75" customHeight="1" x14ac:dyDescent="0.2">
      <c r="A54" s="297" t="s">
        <v>2031</v>
      </c>
      <c r="B54" s="294">
        <f>DW53</f>
        <v>14090865610.09</v>
      </c>
      <c r="C54" s="299">
        <f>400000000/3</f>
        <v>133333333.33333333</v>
      </c>
      <c r="D54" s="299">
        <f>250869818.94/3</f>
        <v>83623272.980000004</v>
      </c>
      <c r="E54" s="299">
        <f>135837738.94/3</f>
        <v>45279246.313333333</v>
      </c>
      <c r="F54" s="299">
        <f>124992786/3</f>
        <v>41664262</v>
      </c>
      <c r="G54" s="299">
        <f>2383169452.6/3</f>
        <v>794389817.5333333</v>
      </c>
      <c r="H54" s="299">
        <f>300000000/3</f>
        <v>100000000</v>
      </c>
      <c r="I54" s="299">
        <v>0</v>
      </c>
      <c r="J54" s="299">
        <v>0</v>
      </c>
      <c r="K54" s="299">
        <v>0</v>
      </c>
      <c r="L54" s="299">
        <v>0</v>
      </c>
      <c r="M54" s="299">
        <v>0</v>
      </c>
      <c r="N54" s="299">
        <v>0</v>
      </c>
      <c r="O54" s="299">
        <v>0</v>
      </c>
      <c r="P54" s="299">
        <v>0</v>
      </c>
      <c r="Q54" s="299">
        <v>0</v>
      </c>
      <c r="R54" s="299">
        <v>0</v>
      </c>
      <c r="S54" s="299">
        <v>0</v>
      </c>
      <c r="T54" s="299">
        <v>0</v>
      </c>
      <c r="U54" s="299">
        <v>0</v>
      </c>
      <c r="V54" s="299">
        <v>0</v>
      </c>
      <c r="W54" s="299">
        <v>0</v>
      </c>
      <c r="X54" s="299">
        <v>0</v>
      </c>
      <c r="Y54" s="299">
        <v>0</v>
      </c>
      <c r="Z54" s="299">
        <v>0</v>
      </c>
      <c r="AA54" s="299">
        <v>0</v>
      </c>
      <c r="AB54" s="299">
        <v>0</v>
      </c>
      <c r="AC54" s="299">
        <v>0</v>
      </c>
      <c r="AD54" s="299">
        <v>0</v>
      </c>
      <c r="AE54" s="299">
        <v>0</v>
      </c>
      <c r="AF54" s="299">
        <v>0</v>
      </c>
      <c r="AG54" s="299">
        <v>0</v>
      </c>
      <c r="AH54" s="299">
        <v>0</v>
      </c>
      <c r="AI54" s="299">
        <v>0</v>
      </c>
      <c r="AJ54" s="299">
        <v>0</v>
      </c>
      <c r="AK54" s="299">
        <v>0</v>
      </c>
      <c r="AL54" s="299">
        <v>0</v>
      </c>
      <c r="AM54" s="299">
        <f>200000000/3</f>
        <v>66666666.666666664</v>
      </c>
      <c r="AN54" s="299">
        <f>38919320/3</f>
        <v>12973106.666666666</v>
      </c>
      <c r="AO54" s="299">
        <f>8000000/3</f>
        <v>2666666.6666666665</v>
      </c>
      <c r="AP54" s="299">
        <f>8000000/3</f>
        <v>2666666.6666666665</v>
      </c>
      <c r="AQ54" s="300">
        <v>0</v>
      </c>
      <c r="AR54" s="300">
        <v>0</v>
      </c>
      <c r="AS54" s="300">
        <v>0</v>
      </c>
      <c r="AT54" s="300">
        <v>0</v>
      </c>
      <c r="AU54" s="300">
        <v>0</v>
      </c>
      <c r="AV54" s="300">
        <v>0</v>
      </c>
      <c r="AW54" s="300">
        <v>0</v>
      </c>
      <c r="AX54" s="300">
        <v>0</v>
      </c>
      <c r="AY54" s="300">
        <v>0</v>
      </c>
      <c r="AZ54" s="300">
        <v>0</v>
      </c>
      <c r="BA54" s="300">
        <v>0</v>
      </c>
      <c r="BB54" s="300">
        <v>0</v>
      </c>
      <c r="BC54" s="300">
        <v>11107696157.49</v>
      </c>
      <c r="BD54" s="300">
        <v>9576014757</v>
      </c>
      <c r="BE54" s="300">
        <v>1828586869.5</v>
      </c>
      <c r="BF54" s="300">
        <v>1828586869.5</v>
      </c>
      <c r="BG54" s="300">
        <v>0</v>
      </c>
      <c r="BH54" s="300">
        <v>0</v>
      </c>
      <c r="BI54" s="300">
        <v>0</v>
      </c>
      <c r="BJ54" s="300">
        <v>0</v>
      </c>
      <c r="BK54" s="299"/>
      <c r="BL54" s="299"/>
      <c r="BM54" s="299"/>
      <c r="BN54" s="299"/>
      <c r="BO54" s="300">
        <v>0</v>
      </c>
      <c r="BP54" s="300">
        <v>0</v>
      </c>
      <c r="BQ54" s="300">
        <v>0</v>
      </c>
      <c r="BR54" s="300">
        <v>0</v>
      </c>
      <c r="BS54" s="300">
        <v>0</v>
      </c>
      <c r="BT54" s="300">
        <v>0</v>
      </c>
      <c r="BU54" s="300">
        <v>0</v>
      </c>
      <c r="BV54" s="300">
        <v>0</v>
      </c>
      <c r="BW54" s="300">
        <v>0</v>
      </c>
      <c r="BX54" s="300">
        <v>0</v>
      </c>
      <c r="BY54" s="300">
        <v>0</v>
      </c>
      <c r="BZ54" s="300">
        <v>0</v>
      </c>
      <c r="CA54" s="300">
        <v>0</v>
      </c>
      <c r="CB54" s="300">
        <v>0</v>
      </c>
      <c r="CC54" s="300">
        <v>0</v>
      </c>
      <c r="CD54" s="300">
        <v>0</v>
      </c>
      <c r="CE54" s="300">
        <v>0</v>
      </c>
      <c r="CF54" s="300">
        <v>0</v>
      </c>
      <c r="CG54" s="300">
        <v>0</v>
      </c>
      <c r="CH54" s="300">
        <v>0</v>
      </c>
      <c r="CI54" s="300">
        <v>0</v>
      </c>
      <c r="CJ54" s="300">
        <v>0</v>
      </c>
      <c r="CK54" s="300">
        <v>0</v>
      </c>
      <c r="CL54" s="300">
        <v>0</v>
      </c>
      <c r="CM54" s="300">
        <v>0</v>
      </c>
      <c r="CN54" s="300">
        <v>0</v>
      </c>
      <c r="CO54" s="300">
        <v>0</v>
      </c>
      <c r="CP54" s="300">
        <v>0</v>
      </c>
      <c r="CQ54" s="300">
        <v>0</v>
      </c>
      <c r="CR54" s="300">
        <v>0</v>
      </c>
      <c r="CS54" s="300">
        <v>0</v>
      </c>
      <c r="CT54" s="300">
        <v>0</v>
      </c>
      <c r="CU54" s="300">
        <v>0</v>
      </c>
      <c r="CV54" s="300">
        <v>0</v>
      </c>
      <c r="CW54" s="300">
        <v>0</v>
      </c>
      <c r="CX54" s="300">
        <v>0</v>
      </c>
      <c r="CY54" s="300">
        <v>0</v>
      </c>
      <c r="CZ54" s="300">
        <v>0</v>
      </c>
      <c r="DA54" s="300">
        <v>0</v>
      </c>
      <c r="DB54" s="300">
        <v>0</v>
      </c>
      <c r="DC54" s="300">
        <v>0</v>
      </c>
      <c r="DD54" s="300">
        <v>0</v>
      </c>
      <c r="DE54" s="300">
        <v>0</v>
      </c>
      <c r="DF54" s="300">
        <v>0</v>
      </c>
      <c r="DG54" s="300">
        <v>0</v>
      </c>
      <c r="DH54" s="300">
        <v>0</v>
      </c>
      <c r="DI54" s="300">
        <v>0</v>
      </c>
      <c r="DJ54" s="300">
        <v>0</v>
      </c>
      <c r="DK54" s="300">
        <v>0</v>
      </c>
      <c r="DL54" s="300">
        <v>0</v>
      </c>
      <c r="DM54" s="300">
        <v>0</v>
      </c>
      <c r="DN54" s="300">
        <v>0</v>
      </c>
      <c r="DO54" s="300">
        <v>0</v>
      </c>
      <c r="DP54" s="300">
        <v>0</v>
      </c>
      <c r="DQ54" s="300">
        <v>0</v>
      </c>
      <c r="DR54" s="300"/>
      <c r="DS54" s="300">
        <v>0</v>
      </c>
      <c r="DT54" s="300">
        <v>0</v>
      </c>
      <c r="DU54" s="300">
        <v>0</v>
      </c>
      <c r="DV54" s="300">
        <v>0</v>
      </c>
      <c r="DW54" s="296">
        <f t="shared" si="40"/>
        <v>12102085975.023333</v>
      </c>
      <c r="DX54" s="296">
        <f t="shared" si="40"/>
        <v>9772611136.6466675</v>
      </c>
      <c r="DY54" s="296">
        <f t="shared" si="40"/>
        <v>1876532782.48</v>
      </c>
      <c r="DZ54" s="296">
        <f t="shared" si="40"/>
        <v>1872917798.1666667</v>
      </c>
      <c r="EA54" s="287"/>
    </row>
    <row r="55" spans="1:132" ht="45.75" customHeight="1" x14ac:dyDescent="0.2">
      <c r="A55" s="297" t="s">
        <v>2032</v>
      </c>
      <c r="B55" s="298"/>
      <c r="C55" s="299">
        <f t="shared" ref="C55:C56" si="66">400000000/3</f>
        <v>133333333.33333333</v>
      </c>
      <c r="D55" s="299">
        <f t="shared" ref="D55:D56" si="67">250869818.94/3</f>
        <v>83623272.980000004</v>
      </c>
      <c r="E55" s="299">
        <f t="shared" ref="E55:E56" si="68">135837738.94/3</f>
        <v>45279246.313333333</v>
      </c>
      <c r="F55" s="299">
        <f t="shared" ref="F55:F56" si="69">124992786/3</f>
        <v>41664262</v>
      </c>
      <c r="G55" s="299">
        <f t="shared" ref="G55:G56" si="70">2383169452.6/3</f>
        <v>794389817.5333333</v>
      </c>
      <c r="H55" s="299">
        <f t="shared" ref="H55:H56" si="71">300000000/3</f>
        <v>100000000</v>
      </c>
      <c r="I55" s="299">
        <v>0</v>
      </c>
      <c r="J55" s="299">
        <v>0</v>
      </c>
      <c r="K55" s="299">
        <v>0</v>
      </c>
      <c r="L55" s="299">
        <v>0</v>
      </c>
      <c r="M55" s="299">
        <v>0</v>
      </c>
      <c r="N55" s="299">
        <v>0</v>
      </c>
      <c r="O55" s="299">
        <v>0</v>
      </c>
      <c r="P55" s="299">
        <v>0</v>
      </c>
      <c r="Q55" s="299">
        <v>0</v>
      </c>
      <c r="R55" s="299">
        <v>0</v>
      </c>
      <c r="S55" s="299">
        <v>0</v>
      </c>
      <c r="T55" s="299">
        <v>0</v>
      </c>
      <c r="U55" s="299">
        <v>0</v>
      </c>
      <c r="V55" s="299">
        <v>0</v>
      </c>
      <c r="W55" s="299">
        <v>0</v>
      </c>
      <c r="X55" s="299">
        <v>0</v>
      </c>
      <c r="Y55" s="299">
        <v>0</v>
      </c>
      <c r="Z55" s="299">
        <v>0</v>
      </c>
      <c r="AA55" s="299">
        <v>0</v>
      </c>
      <c r="AB55" s="299">
        <v>0</v>
      </c>
      <c r="AC55" s="299">
        <v>0</v>
      </c>
      <c r="AD55" s="299">
        <v>0</v>
      </c>
      <c r="AE55" s="299">
        <v>0</v>
      </c>
      <c r="AF55" s="299">
        <v>0</v>
      </c>
      <c r="AG55" s="299">
        <v>0</v>
      </c>
      <c r="AH55" s="299">
        <v>0</v>
      </c>
      <c r="AI55" s="299">
        <v>0</v>
      </c>
      <c r="AJ55" s="299">
        <v>0</v>
      </c>
      <c r="AK55" s="299">
        <v>0</v>
      </c>
      <c r="AL55" s="299">
        <v>0</v>
      </c>
      <c r="AM55" s="299">
        <f t="shared" ref="AM55:AM56" si="72">200000000/3</f>
        <v>66666666.666666664</v>
      </c>
      <c r="AN55" s="299">
        <f t="shared" ref="AN55:AN56" si="73">38919320/3</f>
        <v>12973106.666666666</v>
      </c>
      <c r="AO55" s="299">
        <f t="shared" ref="AO55:AP56" si="74">8000000/3</f>
        <v>2666666.6666666665</v>
      </c>
      <c r="AP55" s="299">
        <f t="shared" si="74"/>
        <v>2666666.6666666665</v>
      </c>
      <c r="AQ55" s="300">
        <v>0</v>
      </c>
      <c r="AR55" s="300">
        <v>0</v>
      </c>
      <c r="AS55" s="300">
        <v>0</v>
      </c>
      <c r="AT55" s="300">
        <v>0</v>
      </c>
      <c r="AU55" s="300">
        <v>0</v>
      </c>
      <c r="AV55" s="300">
        <v>0</v>
      </c>
      <c r="AW55" s="300">
        <v>0</v>
      </c>
      <c r="AX55" s="300">
        <v>0</v>
      </c>
      <c r="AY55" s="300">
        <v>0</v>
      </c>
      <c r="AZ55" s="300">
        <v>0</v>
      </c>
      <c r="BA55" s="300">
        <v>0</v>
      </c>
      <c r="BB55" s="300">
        <v>0</v>
      </c>
      <c r="BC55" s="300"/>
      <c r="BD55" s="300"/>
      <c r="BE55" s="300"/>
      <c r="BF55" s="300"/>
      <c r="BG55" s="300">
        <v>0</v>
      </c>
      <c r="BH55" s="300">
        <v>0</v>
      </c>
      <c r="BI55" s="300">
        <v>0</v>
      </c>
      <c r="BJ55" s="300">
        <v>0</v>
      </c>
      <c r="BK55" s="299"/>
      <c r="BL55" s="299"/>
      <c r="BM55" s="299"/>
      <c r="BN55" s="299"/>
      <c r="BO55" s="300">
        <v>0</v>
      </c>
      <c r="BP55" s="300">
        <v>0</v>
      </c>
      <c r="BQ55" s="300">
        <v>0</v>
      </c>
      <c r="BR55" s="300">
        <v>0</v>
      </c>
      <c r="BS55" s="300">
        <v>0</v>
      </c>
      <c r="BT55" s="300">
        <v>0</v>
      </c>
      <c r="BU55" s="300">
        <v>0</v>
      </c>
      <c r="BV55" s="300">
        <v>0</v>
      </c>
      <c r="BW55" s="300">
        <v>0</v>
      </c>
      <c r="BX55" s="300">
        <v>0</v>
      </c>
      <c r="BY55" s="300">
        <v>0</v>
      </c>
      <c r="BZ55" s="300">
        <v>0</v>
      </c>
      <c r="CA55" s="300">
        <v>0</v>
      </c>
      <c r="CB55" s="300">
        <v>0</v>
      </c>
      <c r="CC55" s="300">
        <v>0</v>
      </c>
      <c r="CD55" s="300">
        <v>0</v>
      </c>
      <c r="CE55" s="300">
        <v>0</v>
      </c>
      <c r="CF55" s="300">
        <v>0</v>
      </c>
      <c r="CG55" s="300">
        <v>0</v>
      </c>
      <c r="CH55" s="300">
        <v>0</v>
      </c>
      <c r="CI55" s="300">
        <v>0</v>
      </c>
      <c r="CJ55" s="300">
        <v>0</v>
      </c>
      <c r="CK55" s="300">
        <v>0</v>
      </c>
      <c r="CL55" s="300">
        <v>0</v>
      </c>
      <c r="CM55" s="300">
        <v>0</v>
      </c>
      <c r="CN55" s="300">
        <v>0</v>
      </c>
      <c r="CO55" s="300">
        <v>0</v>
      </c>
      <c r="CP55" s="300">
        <v>0</v>
      </c>
      <c r="CQ55" s="300">
        <v>0</v>
      </c>
      <c r="CR55" s="300">
        <v>0</v>
      </c>
      <c r="CS55" s="300">
        <v>0</v>
      </c>
      <c r="CT55" s="300">
        <v>0</v>
      </c>
      <c r="CU55" s="300">
        <v>0</v>
      </c>
      <c r="CV55" s="300">
        <v>0</v>
      </c>
      <c r="CW55" s="300">
        <v>0</v>
      </c>
      <c r="CX55" s="300">
        <v>0</v>
      </c>
      <c r="CY55" s="300">
        <v>0</v>
      </c>
      <c r="CZ55" s="300">
        <v>0</v>
      </c>
      <c r="DA55" s="300">
        <v>0</v>
      </c>
      <c r="DB55" s="300">
        <v>0</v>
      </c>
      <c r="DC55" s="300">
        <v>0</v>
      </c>
      <c r="DD55" s="300">
        <v>0</v>
      </c>
      <c r="DE55" s="300">
        <v>0</v>
      </c>
      <c r="DF55" s="300">
        <v>0</v>
      </c>
      <c r="DG55" s="300">
        <v>0</v>
      </c>
      <c r="DH55" s="300">
        <v>0</v>
      </c>
      <c r="DI55" s="300">
        <v>0</v>
      </c>
      <c r="DJ55" s="300">
        <v>0</v>
      </c>
      <c r="DK55" s="300">
        <v>0</v>
      </c>
      <c r="DL55" s="300">
        <v>0</v>
      </c>
      <c r="DM55" s="300">
        <v>0</v>
      </c>
      <c r="DN55" s="300">
        <v>0</v>
      </c>
      <c r="DO55" s="300">
        <v>0</v>
      </c>
      <c r="DP55" s="300">
        <v>0</v>
      </c>
      <c r="DQ55" s="300">
        <v>0</v>
      </c>
      <c r="DR55" s="300"/>
      <c r="DS55" s="300">
        <v>0</v>
      </c>
      <c r="DT55" s="300">
        <v>0</v>
      </c>
      <c r="DU55" s="300">
        <v>0</v>
      </c>
      <c r="DV55" s="300">
        <v>0</v>
      </c>
      <c r="DW55" s="296">
        <f t="shared" si="40"/>
        <v>994389817.5333333</v>
      </c>
      <c r="DX55" s="296">
        <f t="shared" si="40"/>
        <v>196596379.64666668</v>
      </c>
      <c r="DY55" s="296">
        <f t="shared" si="40"/>
        <v>47945912.979999997</v>
      </c>
      <c r="DZ55" s="296">
        <f t="shared" si="40"/>
        <v>44330928.666666664</v>
      </c>
      <c r="EA55" s="287"/>
    </row>
    <row r="56" spans="1:132" ht="45.75" customHeight="1" x14ac:dyDescent="0.2">
      <c r="A56" s="293" t="s">
        <v>2033</v>
      </c>
      <c r="B56" s="301"/>
      <c r="C56" s="299">
        <f t="shared" si="66"/>
        <v>133333333.33333333</v>
      </c>
      <c r="D56" s="299">
        <f t="shared" si="67"/>
        <v>83623272.980000004</v>
      </c>
      <c r="E56" s="299">
        <f t="shared" si="68"/>
        <v>45279246.313333333</v>
      </c>
      <c r="F56" s="299">
        <f t="shared" si="69"/>
        <v>41664262</v>
      </c>
      <c r="G56" s="299">
        <f t="shared" si="70"/>
        <v>794389817.5333333</v>
      </c>
      <c r="H56" s="299">
        <f t="shared" si="71"/>
        <v>100000000</v>
      </c>
      <c r="I56" s="295">
        <v>0</v>
      </c>
      <c r="J56" s="295">
        <v>0</v>
      </c>
      <c r="K56" s="295">
        <v>0</v>
      </c>
      <c r="L56" s="295">
        <v>0</v>
      </c>
      <c r="M56" s="295">
        <v>0</v>
      </c>
      <c r="N56" s="295">
        <v>0</v>
      </c>
      <c r="O56" s="295">
        <v>0</v>
      </c>
      <c r="P56" s="295">
        <v>0</v>
      </c>
      <c r="Q56" s="295">
        <v>0</v>
      </c>
      <c r="R56" s="295">
        <v>0</v>
      </c>
      <c r="S56" s="295">
        <v>0</v>
      </c>
      <c r="T56" s="295">
        <v>0</v>
      </c>
      <c r="U56" s="295">
        <v>0</v>
      </c>
      <c r="V56" s="295">
        <v>0</v>
      </c>
      <c r="W56" s="295">
        <v>0</v>
      </c>
      <c r="X56" s="295">
        <v>0</v>
      </c>
      <c r="Y56" s="295">
        <v>0</v>
      </c>
      <c r="Z56" s="295">
        <v>0</v>
      </c>
      <c r="AA56" s="295">
        <v>0</v>
      </c>
      <c r="AB56" s="295">
        <v>0</v>
      </c>
      <c r="AC56" s="295">
        <v>0</v>
      </c>
      <c r="AD56" s="295">
        <v>0</v>
      </c>
      <c r="AE56" s="295">
        <v>0</v>
      </c>
      <c r="AF56" s="295">
        <v>0</v>
      </c>
      <c r="AG56" s="295">
        <v>0</v>
      </c>
      <c r="AH56" s="295">
        <v>0</v>
      </c>
      <c r="AI56" s="295">
        <v>0</v>
      </c>
      <c r="AJ56" s="295">
        <v>0</v>
      </c>
      <c r="AK56" s="295">
        <v>0</v>
      </c>
      <c r="AL56" s="295">
        <v>0</v>
      </c>
      <c r="AM56" s="299">
        <f t="shared" si="72"/>
        <v>66666666.666666664</v>
      </c>
      <c r="AN56" s="299">
        <f t="shared" si="73"/>
        <v>12973106.666666666</v>
      </c>
      <c r="AO56" s="299">
        <f t="shared" si="74"/>
        <v>2666666.6666666665</v>
      </c>
      <c r="AP56" s="299">
        <f t="shared" si="74"/>
        <v>2666666.6666666665</v>
      </c>
      <c r="AQ56" s="295">
        <v>0</v>
      </c>
      <c r="AR56" s="295">
        <v>0</v>
      </c>
      <c r="AS56" s="295">
        <v>0</v>
      </c>
      <c r="AT56" s="295">
        <v>0</v>
      </c>
      <c r="AU56" s="295">
        <v>0</v>
      </c>
      <c r="AV56" s="295">
        <v>0</v>
      </c>
      <c r="AW56" s="295">
        <v>0</v>
      </c>
      <c r="AX56" s="295">
        <v>0</v>
      </c>
      <c r="AY56" s="295">
        <v>0</v>
      </c>
      <c r="AZ56" s="295">
        <v>0</v>
      </c>
      <c r="BA56" s="295">
        <v>0</v>
      </c>
      <c r="BB56" s="295">
        <v>0</v>
      </c>
      <c r="BC56" s="295">
        <v>0</v>
      </c>
      <c r="BD56" s="295">
        <v>0</v>
      </c>
      <c r="BE56" s="295">
        <v>0</v>
      </c>
      <c r="BF56" s="295">
        <v>0</v>
      </c>
      <c r="BG56" s="295">
        <v>0</v>
      </c>
      <c r="BH56" s="295">
        <v>0</v>
      </c>
      <c r="BI56" s="295">
        <v>0</v>
      </c>
      <c r="BJ56" s="295">
        <v>0</v>
      </c>
      <c r="BK56" s="295"/>
      <c r="BL56" s="295"/>
      <c r="BM56" s="295"/>
      <c r="BN56" s="295"/>
      <c r="BO56" s="295">
        <v>0</v>
      </c>
      <c r="BP56" s="295">
        <v>0</v>
      </c>
      <c r="BQ56" s="295">
        <v>0</v>
      </c>
      <c r="BR56" s="295">
        <v>0</v>
      </c>
      <c r="BS56" s="295">
        <v>0</v>
      </c>
      <c r="BT56" s="295">
        <v>0</v>
      </c>
      <c r="BU56" s="295">
        <v>0</v>
      </c>
      <c r="BV56" s="295">
        <v>0</v>
      </c>
      <c r="BW56" s="295">
        <v>0</v>
      </c>
      <c r="BX56" s="295">
        <v>0</v>
      </c>
      <c r="BY56" s="295">
        <v>0</v>
      </c>
      <c r="BZ56" s="295">
        <v>0</v>
      </c>
      <c r="CA56" s="295">
        <v>0</v>
      </c>
      <c r="CB56" s="295">
        <v>0</v>
      </c>
      <c r="CC56" s="295">
        <v>0</v>
      </c>
      <c r="CD56" s="295">
        <v>0</v>
      </c>
      <c r="CE56" s="295">
        <v>0</v>
      </c>
      <c r="CF56" s="295">
        <v>0</v>
      </c>
      <c r="CG56" s="295">
        <v>0</v>
      </c>
      <c r="CH56" s="295">
        <v>0</v>
      </c>
      <c r="CI56" s="295">
        <v>0</v>
      </c>
      <c r="CJ56" s="295">
        <v>0</v>
      </c>
      <c r="CK56" s="295">
        <v>0</v>
      </c>
      <c r="CL56" s="295">
        <v>0</v>
      </c>
      <c r="CM56" s="295">
        <v>0</v>
      </c>
      <c r="CN56" s="295">
        <v>0</v>
      </c>
      <c r="CO56" s="295">
        <v>0</v>
      </c>
      <c r="CP56" s="295">
        <v>0</v>
      </c>
      <c r="CQ56" s="295">
        <v>0</v>
      </c>
      <c r="CR56" s="295">
        <v>0</v>
      </c>
      <c r="CS56" s="295">
        <v>0</v>
      </c>
      <c r="CT56" s="295">
        <v>0</v>
      </c>
      <c r="CU56" s="295">
        <v>0</v>
      </c>
      <c r="CV56" s="295">
        <v>0</v>
      </c>
      <c r="CW56" s="295">
        <v>0</v>
      </c>
      <c r="CX56" s="295">
        <v>0</v>
      </c>
      <c r="CY56" s="295">
        <v>0</v>
      </c>
      <c r="CZ56" s="295">
        <v>0</v>
      </c>
      <c r="DA56" s="295">
        <v>0</v>
      </c>
      <c r="DB56" s="295">
        <v>0</v>
      </c>
      <c r="DC56" s="295">
        <v>0</v>
      </c>
      <c r="DD56" s="295">
        <v>0</v>
      </c>
      <c r="DE56" s="295">
        <v>0</v>
      </c>
      <c r="DF56" s="295">
        <v>0</v>
      </c>
      <c r="DG56" s="295">
        <v>0</v>
      </c>
      <c r="DH56" s="295">
        <v>0</v>
      </c>
      <c r="DI56" s="295">
        <v>0</v>
      </c>
      <c r="DJ56" s="295">
        <v>0</v>
      </c>
      <c r="DK56" s="295">
        <v>0</v>
      </c>
      <c r="DL56" s="295">
        <v>0</v>
      </c>
      <c r="DM56" s="295">
        <v>0</v>
      </c>
      <c r="DN56" s="295">
        <v>0</v>
      </c>
      <c r="DO56" s="295">
        <v>0</v>
      </c>
      <c r="DP56" s="295">
        <v>0</v>
      </c>
      <c r="DQ56" s="295">
        <v>0</v>
      </c>
      <c r="DR56" s="295">
        <v>0</v>
      </c>
      <c r="DS56" s="295">
        <v>0</v>
      </c>
      <c r="DT56" s="295">
        <v>0</v>
      </c>
      <c r="DU56" s="295">
        <v>0</v>
      </c>
      <c r="DV56" s="295">
        <v>0</v>
      </c>
      <c r="DW56" s="296">
        <f t="shared" si="40"/>
        <v>994389817.5333333</v>
      </c>
      <c r="DX56" s="296">
        <f t="shared" si="40"/>
        <v>196596379.64666668</v>
      </c>
      <c r="DY56" s="296">
        <f t="shared" si="40"/>
        <v>47945912.979999997</v>
      </c>
      <c r="DZ56" s="296">
        <f t="shared" si="40"/>
        <v>44330928.666666664</v>
      </c>
      <c r="EA56" s="302">
        <f>+SUM(DW54:DW56)-B54</f>
        <v>0</v>
      </c>
    </row>
    <row r="57" spans="1:132" ht="45.75" customHeight="1" x14ac:dyDescent="0.2">
      <c r="A57" s="303" t="s">
        <v>2034</v>
      </c>
      <c r="B57" s="290">
        <f t="shared" ref="B57:BM57" si="75">SUM(B58:B62)</f>
        <v>12333066970.17</v>
      </c>
      <c r="C57" s="290">
        <f t="shared" si="75"/>
        <v>1650000000</v>
      </c>
      <c r="D57" s="290">
        <f t="shared" si="75"/>
        <v>1621957608.3800001</v>
      </c>
      <c r="E57" s="290">
        <f t="shared" si="75"/>
        <v>960275059.72000003</v>
      </c>
      <c r="F57" s="290">
        <f t="shared" si="75"/>
        <v>956556709.72000003</v>
      </c>
      <c r="G57" s="290">
        <f t="shared" si="75"/>
        <v>150000000</v>
      </c>
      <c r="H57" s="290">
        <f t="shared" si="75"/>
        <v>0</v>
      </c>
      <c r="I57" s="290">
        <f t="shared" si="75"/>
        <v>0</v>
      </c>
      <c r="J57" s="290">
        <f t="shared" si="75"/>
        <v>0</v>
      </c>
      <c r="K57" s="290">
        <f t="shared" si="75"/>
        <v>0</v>
      </c>
      <c r="L57" s="290">
        <f t="shared" si="75"/>
        <v>0</v>
      </c>
      <c r="M57" s="290">
        <f t="shared" si="75"/>
        <v>0</v>
      </c>
      <c r="N57" s="290">
        <f t="shared" si="75"/>
        <v>0</v>
      </c>
      <c r="O57" s="290">
        <f t="shared" si="75"/>
        <v>0</v>
      </c>
      <c r="P57" s="290">
        <f t="shared" si="75"/>
        <v>0</v>
      </c>
      <c r="Q57" s="290">
        <f t="shared" si="75"/>
        <v>0</v>
      </c>
      <c r="R57" s="290">
        <f t="shared" si="75"/>
        <v>0</v>
      </c>
      <c r="S57" s="290">
        <f t="shared" si="75"/>
        <v>0</v>
      </c>
      <c r="T57" s="290">
        <f t="shared" si="75"/>
        <v>0</v>
      </c>
      <c r="U57" s="290">
        <f t="shared" si="75"/>
        <v>0</v>
      </c>
      <c r="V57" s="290">
        <f t="shared" si="75"/>
        <v>0</v>
      </c>
      <c r="W57" s="290">
        <f t="shared" si="75"/>
        <v>0</v>
      </c>
      <c r="X57" s="290">
        <f t="shared" si="75"/>
        <v>0</v>
      </c>
      <c r="Y57" s="290">
        <f t="shared" si="75"/>
        <v>0</v>
      </c>
      <c r="Z57" s="290">
        <f t="shared" si="75"/>
        <v>0</v>
      </c>
      <c r="AA57" s="290">
        <f t="shared" si="75"/>
        <v>0</v>
      </c>
      <c r="AB57" s="290">
        <f t="shared" si="75"/>
        <v>0</v>
      </c>
      <c r="AC57" s="290">
        <f t="shared" si="75"/>
        <v>0</v>
      </c>
      <c r="AD57" s="290">
        <f t="shared" si="75"/>
        <v>0</v>
      </c>
      <c r="AE57" s="290">
        <f t="shared" si="75"/>
        <v>0</v>
      </c>
      <c r="AF57" s="290">
        <f t="shared" si="75"/>
        <v>0</v>
      </c>
      <c r="AG57" s="290">
        <f t="shared" si="75"/>
        <v>0</v>
      </c>
      <c r="AH57" s="290">
        <f t="shared" si="75"/>
        <v>0</v>
      </c>
      <c r="AI57" s="290">
        <f t="shared" si="75"/>
        <v>0</v>
      </c>
      <c r="AJ57" s="290">
        <f t="shared" si="75"/>
        <v>0</v>
      </c>
      <c r="AK57" s="290">
        <f t="shared" si="75"/>
        <v>0</v>
      </c>
      <c r="AL57" s="290">
        <f t="shared" si="75"/>
        <v>0</v>
      </c>
      <c r="AM57" s="290">
        <f t="shared" si="75"/>
        <v>160000000</v>
      </c>
      <c r="AN57" s="290">
        <f t="shared" si="75"/>
        <v>65627488</v>
      </c>
      <c r="AO57" s="290">
        <f t="shared" si="75"/>
        <v>36822524</v>
      </c>
      <c r="AP57" s="290">
        <f t="shared" si="75"/>
        <v>26552666</v>
      </c>
      <c r="AQ57" s="290">
        <f t="shared" si="75"/>
        <v>0</v>
      </c>
      <c r="AR57" s="290">
        <f t="shared" si="75"/>
        <v>0</v>
      </c>
      <c r="AS57" s="290">
        <f t="shared" si="75"/>
        <v>0</v>
      </c>
      <c r="AT57" s="290">
        <f t="shared" si="75"/>
        <v>0</v>
      </c>
      <c r="AU57" s="290">
        <f t="shared" si="75"/>
        <v>0</v>
      </c>
      <c r="AV57" s="290">
        <f t="shared" si="75"/>
        <v>0</v>
      </c>
      <c r="AW57" s="290">
        <f t="shared" si="75"/>
        <v>0</v>
      </c>
      <c r="AX57" s="290">
        <f t="shared" si="75"/>
        <v>0</v>
      </c>
      <c r="AY57" s="290">
        <f t="shared" si="75"/>
        <v>0</v>
      </c>
      <c r="AZ57" s="290">
        <f t="shared" si="75"/>
        <v>0</v>
      </c>
      <c r="BA57" s="290">
        <f t="shared" si="75"/>
        <v>0</v>
      </c>
      <c r="BB57" s="290">
        <f t="shared" si="75"/>
        <v>0</v>
      </c>
      <c r="BC57" s="290">
        <f t="shared" si="75"/>
        <v>10023066970.17</v>
      </c>
      <c r="BD57" s="290">
        <f t="shared" si="75"/>
        <v>10023066970.17</v>
      </c>
      <c r="BE57" s="290">
        <f t="shared" si="75"/>
        <v>2666899091.0199995</v>
      </c>
      <c r="BF57" s="290">
        <f t="shared" si="75"/>
        <v>2297598218.02</v>
      </c>
      <c r="BG57" s="290">
        <f t="shared" si="75"/>
        <v>0</v>
      </c>
      <c r="BH57" s="290">
        <f t="shared" si="75"/>
        <v>0</v>
      </c>
      <c r="BI57" s="290">
        <f t="shared" si="75"/>
        <v>0</v>
      </c>
      <c r="BJ57" s="290">
        <f t="shared" si="75"/>
        <v>0</v>
      </c>
      <c r="BK57" s="290">
        <f t="shared" si="75"/>
        <v>350000000</v>
      </c>
      <c r="BL57" s="290">
        <f t="shared" si="75"/>
        <v>300000000</v>
      </c>
      <c r="BM57" s="290">
        <f t="shared" si="75"/>
        <v>0</v>
      </c>
      <c r="BN57" s="290">
        <f t="shared" ref="BN57:DV57" si="76">SUM(BN58:BN62)</f>
        <v>0</v>
      </c>
      <c r="BO57" s="290">
        <f t="shared" si="76"/>
        <v>0</v>
      </c>
      <c r="BP57" s="290">
        <f t="shared" si="76"/>
        <v>0</v>
      </c>
      <c r="BQ57" s="290">
        <f t="shared" si="76"/>
        <v>0</v>
      </c>
      <c r="BR57" s="290">
        <f t="shared" si="76"/>
        <v>0</v>
      </c>
      <c r="BS57" s="290">
        <f t="shared" si="76"/>
        <v>0</v>
      </c>
      <c r="BT57" s="290">
        <f t="shared" si="76"/>
        <v>0</v>
      </c>
      <c r="BU57" s="290">
        <f t="shared" si="76"/>
        <v>0</v>
      </c>
      <c r="BV57" s="290">
        <f t="shared" si="76"/>
        <v>0</v>
      </c>
      <c r="BW57" s="290">
        <f t="shared" si="76"/>
        <v>0</v>
      </c>
      <c r="BX57" s="290">
        <f t="shared" si="76"/>
        <v>0</v>
      </c>
      <c r="BY57" s="290">
        <f t="shared" si="76"/>
        <v>0</v>
      </c>
      <c r="BZ57" s="290">
        <f t="shared" si="76"/>
        <v>0</v>
      </c>
      <c r="CA57" s="290">
        <f t="shared" si="76"/>
        <v>0</v>
      </c>
      <c r="CB57" s="290">
        <f t="shared" si="76"/>
        <v>0</v>
      </c>
      <c r="CC57" s="290">
        <f t="shared" si="76"/>
        <v>0</v>
      </c>
      <c r="CD57" s="290">
        <f t="shared" si="76"/>
        <v>0</v>
      </c>
      <c r="CE57" s="290">
        <f t="shared" si="76"/>
        <v>0</v>
      </c>
      <c r="CF57" s="290">
        <f t="shared" si="76"/>
        <v>0</v>
      </c>
      <c r="CG57" s="290">
        <f t="shared" si="76"/>
        <v>0</v>
      </c>
      <c r="CH57" s="290">
        <f t="shared" si="76"/>
        <v>0</v>
      </c>
      <c r="CI57" s="290">
        <f t="shared" si="76"/>
        <v>0</v>
      </c>
      <c r="CJ57" s="290">
        <f t="shared" si="76"/>
        <v>0</v>
      </c>
      <c r="CK57" s="290">
        <f t="shared" si="76"/>
        <v>0</v>
      </c>
      <c r="CL57" s="290">
        <f t="shared" si="76"/>
        <v>0</v>
      </c>
      <c r="CM57" s="290">
        <f t="shared" si="76"/>
        <v>0</v>
      </c>
      <c r="CN57" s="290">
        <f t="shared" si="76"/>
        <v>0</v>
      </c>
      <c r="CO57" s="290">
        <f t="shared" si="76"/>
        <v>0</v>
      </c>
      <c r="CP57" s="290">
        <f t="shared" si="76"/>
        <v>0</v>
      </c>
      <c r="CQ57" s="290">
        <f t="shared" si="76"/>
        <v>0</v>
      </c>
      <c r="CR57" s="290">
        <f t="shared" si="76"/>
        <v>0</v>
      </c>
      <c r="CS57" s="290">
        <f t="shared" si="76"/>
        <v>0</v>
      </c>
      <c r="CT57" s="290">
        <f t="shared" si="76"/>
        <v>0</v>
      </c>
      <c r="CU57" s="290">
        <f t="shared" si="76"/>
        <v>0</v>
      </c>
      <c r="CV57" s="290">
        <f t="shared" si="76"/>
        <v>0</v>
      </c>
      <c r="CW57" s="290">
        <f t="shared" si="76"/>
        <v>0</v>
      </c>
      <c r="CX57" s="290">
        <f t="shared" si="76"/>
        <v>0</v>
      </c>
      <c r="CY57" s="290">
        <f t="shared" si="76"/>
        <v>0</v>
      </c>
      <c r="CZ57" s="290">
        <f t="shared" si="76"/>
        <v>0</v>
      </c>
      <c r="DA57" s="290">
        <f t="shared" si="76"/>
        <v>0</v>
      </c>
      <c r="DB57" s="290">
        <f t="shared" si="76"/>
        <v>0</v>
      </c>
      <c r="DC57" s="290">
        <f t="shared" si="76"/>
        <v>0</v>
      </c>
      <c r="DD57" s="290">
        <f t="shared" si="76"/>
        <v>0</v>
      </c>
      <c r="DE57" s="290">
        <f t="shared" si="76"/>
        <v>0</v>
      </c>
      <c r="DF57" s="290">
        <f t="shared" si="76"/>
        <v>0</v>
      </c>
      <c r="DG57" s="290">
        <f t="shared" si="76"/>
        <v>0</v>
      </c>
      <c r="DH57" s="290">
        <f t="shared" si="76"/>
        <v>0</v>
      </c>
      <c r="DI57" s="290">
        <f t="shared" si="76"/>
        <v>0</v>
      </c>
      <c r="DJ57" s="290">
        <f t="shared" si="76"/>
        <v>0</v>
      </c>
      <c r="DK57" s="290">
        <f t="shared" si="76"/>
        <v>0</v>
      </c>
      <c r="DL57" s="290">
        <f t="shared" si="76"/>
        <v>0</v>
      </c>
      <c r="DM57" s="290">
        <f t="shared" si="76"/>
        <v>0</v>
      </c>
      <c r="DN57" s="290">
        <f t="shared" si="76"/>
        <v>0</v>
      </c>
      <c r="DO57" s="290">
        <f t="shared" si="76"/>
        <v>0</v>
      </c>
      <c r="DP57" s="290">
        <f t="shared" si="76"/>
        <v>0</v>
      </c>
      <c r="DQ57" s="290">
        <f t="shared" si="76"/>
        <v>0</v>
      </c>
      <c r="DR57" s="290">
        <f t="shared" si="76"/>
        <v>0</v>
      </c>
      <c r="DS57" s="290">
        <f t="shared" si="76"/>
        <v>0</v>
      </c>
      <c r="DT57" s="290">
        <f t="shared" si="76"/>
        <v>0</v>
      </c>
      <c r="DU57" s="290">
        <f t="shared" si="76"/>
        <v>0</v>
      </c>
      <c r="DV57" s="290">
        <f t="shared" si="76"/>
        <v>0</v>
      </c>
      <c r="DW57" s="286">
        <f t="shared" si="40"/>
        <v>12333066970.17</v>
      </c>
      <c r="DX57" s="286">
        <f t="shared" si="40"/>
        <v>12010652066.549999</v>
      </c>
      <c r="DY57" s="286">
        <f t="shared" si="40"/>
        <v>3663996674.7399998</v>
      </c>
      <c r="DZ57" s="286">
        <f t="shared" si="40"/>
        <v>3280707593.7399998</v>
      </c>
      <c r="EA57" s="291">
        <f>+SUM(DW58:DW62)-DW57</f>
        <v>0</v>
      </c>
      <c r="EB57" s="292">
        <f>+DW57-B57</f>
        <v>0</v>
      </c>
    </row>
    <row r="58" spans="1:132" ht="45.75" customHeight="1" x14ac:dyDescent="0.2">
      <c r="A58" s="297" t="s">
        <v>2035</v>
      </c>
      <c r="B58" s="294">
        <f>DW57</f>
        <v>12333066970.17</v>
      </c>
      <c r="C58" s="299">
        <f>1650000000/5</f>
        <v>330000000</v>
      </c>
      <c r="D58" s="299">
        <f>1621957608.38/5</f>
        <v>324391521.676</v>
      </c>
      <c r="E58" s="299">
        <f>960275059.72/5</f>
        <v>192055011.94400001</v>
      </c>
      <c r="F58" s="299">
        <f>956556709.72/5</f>
        <v>191311341.94400001</v>
      </c>
      <c r="G58" s="299">
        <f>150000000/5</f>
        <v>30000000</v>
      </c>
      <c r="H58" s="299">
        <v>0</v>
      </c>
      <c r="I58" s="299">
        <v>0</v>
      </c>
      <c r="J58" s="299">
        <v>0</v>
      </c>
      <c r="K58" s="299">
        <v>0</v>
      </c>
      <c r="L58" s="299">
        <v>0</v>
      </c>
      <c r="M58" s="299">
        <v>0</v>
      </c>
      <c r="N58" s="299">
        <v>0</v>
      </c>
      <c r="O58" s="299">
        <v>0</v>
      </c>
      <c r="P58" s="299">
        <v>0</v>
      </c>
      <c r="Q58" s="299">
        <v>0</v>
      </c>
      <c r="R58" s="299">
        <v>0</v>
      </c>
      <c r="S58" s="299">
        <v>0</v>
      </c>
      <c r="T58" s="299">
        <v>0</v>
      </c>
      <c r="U58" s="299">
        <v>0</v>
      </c>
      <c r="V58" s="299">
        <v>0</v>
      </c>
      <c r="W58" s="299">
        <v>0</v>
      </c>
      <c r="X58" s="299">
        <v>0</v>
      </c>
      <c r="Y58" s="299">
        <v>0</v>
      </c>
      <c r="Z58" s="299">
        <v>0</v>
      </c>
      <c r="AA58" s="299">
        <v>0</v>
      </c>
      <c r="AB58" s="299">
        <v>0</v>
      </c>
      <c r="AC58" s="299">
        <v>0</v>
      </c>
      <c r="AD58" s="299">
        <v>0</v>
      </c>
      <c r="AE58" s="299">
        <v>0</v>
      </c>
      <c r="AF58" s="299">
        <v>0</v>
      </c>
      <c r="AG58" s="299">
        <v>0</v>
      </c>
      <c r="AH58" s="299">
        <v>0</v>
      </c>
      <c r="AI58" s="299">
        <v>0</v>
      </c>
      <c r="AJ58" s="299">
        <v>0</v>
      </c>
      <c r="AK58" s="299">
        <v>0</v>
      </c>
      <c r="AL58" s="299">
        <v>0</v>
      </c>
      <c r="AM58" s="299">
        <f>160000000/5</f>
        <v>32000000</v>
      </c>
      <c r="AN58" s="299">
        <f>65627488/5</f>
        <v>13125497.6</v>
      </c>
      <c r="AO58" s="299">
        <f>36822524/5</f>
        <v>7364504.7999999998</v>
      </c>
      <c r="AP58" s="299">
        <f>26552666/5</f>
        <v>5310533.2</v>
      </c>
      <c r="AQ58" s="300">
        <v>0</v>
      </c>
      <c r="AR58" s="300">
        <v>0</v>
      </c>
      <c r="AS58" s="300">
        <v>0</v>
      </c>
      <c r="AT58" s="300">
        <v>0</v>
      </c>
      <c r="AU58" s="300">
        <v>0</v>
      </c>
      <c r="AV58" s="300">
        <v>0</v>
      </c>
      <c r="AW58" s="300">
        <v>0</v>
      </c>
      <c r="AX58" s="300">
        <v>0</v>
      </c>
      <c r="AY58" s="300">
        <v>0</v>
      </c>
      <c r="AZ58" s="300">
        <v>0</v>
      </c>
      <c r="BA58" s="300">
        <v>0</v>
      </c>
      <c r="BB58" s="300">
        <v>0</v>
      </c>
      <c r="BC58" s="300"/>
      <c r="BD58" s="300"/>
      <c r="BE58" s="300"/>
      <c r="BF58" s="300"/>
      <c r="BG58" s="300">
        <v>0</v>
      </c>
      <c r="BH58" s="300">
        <v>0</v>
      </c>
      <c r="BI58" s="300">
        <v>0</v>
      </c>
      <c r="BJ58" s="300">
        <v>0</v>
      </c>
      <c r="BK58" s="300">
        <f>350000000/3</f>
        <v>116666666.66666667</v>
      </c>
      <c r="BL58" s="300">
        <f>300000000/3</f>
        <v>100000000</v>
      </c>
      <c r="BM58" s="300"/>
      <c r="BN58" s="300">
        <v>0</v>
      </c>
      <c r="BO58" s="300">
        <v>0</v>
      </c>
      <c r="BP58" s="300">
        <v>0</v>
      </c>
      <c r="BQ58" s="300">
        <v>0</v>
      </c>
      <c r="BR58" s="300">
        <v>0</v>
      </c>
      <c r="BS58" s="300">
        <v>0</v>
      </c>
      <c r="BT58" s="300">
        <v>0</v>
      </c>
      <c r="BU58" s="300">
        <v>0</v>
      </c>
      <c r="BV58" s="300">
        <v>0</v>
      </c>
      <c r="BW58" s="300">
        <v>0</v>
      </c>
      <c r="BX58" s="300">
        <v>0</v>
      </c>
      <c r="BY58" s="300">
        <v>0</v>
      </c>
      <c r="BZ58" s="300">
        <v>0</v>
      </c>
      <c r="CA58" s="300">
        <v>0</v>
      </c>
      <c r="CB58" s="300">
        <v>0</v>
      </c>
      <c r="CC58" s="300">
        <v>0</v>
      </c>
      <c r="CD58" s="300">
        <v>0</v>
      </c>
      <c r="CE58" s="300">
        <v>0</v>
      </c>
      <c r="CF58" s="300">
        <v>0</v>
      </c>
      <c r="CG58" s="300">
        <v>0</v>
      </c>
      <c r="CH58" s="300">
        <v>0</v>
      </c>
      <c r="CI58" s="300">
        <v>0</v>
      </c>
      <c r="CJ58" s="300">
        <v>0</v>
      </c>
      <c r="CK58" s="300">
        <v>0</v>
      </c>
      <c r="CL58" s="300">
        <v>0</v>
      </c>
      <c r="CM58" s="300">
        <v>0</v>
      </c>
      <c r="CN58" s="300">
        <v>0</v>
      </c>
      <c r="CO58" s="300">
        <v>0</v>
      </c>
      <c r="CP58" s="300">
        <v>0</v>
      </c>
      <c r="CQ58" s="300">
        <v>0</v>
      </c>
      <c r="CR58" s="300">
        <v>0</v>
      </c>
      <c r="CS58" s="300">
        <v>0</v>
      </c>
      <c r="CT58" s="300">
        <v>0</v>
      </c>
      <c r="CU58" s="300">
        <v>0</v>
      </c>
      <c r="CV58" s="300">
        <v>0</v>
      </c>
      <c r="CW58" s="300">
        <v>0</v>
      </c>
      <c r="CX58" s="300">
        <v>0</v>
      </c>
      <c r="CY58" s="300">
        <v>0</v>
      </c>
      <c r="CZ58" s="300">
        <v>0</v>
      </c>
      <c r="DA58" s="300">
        <v>0</v>
      </c>
      <c r="DB58" s="300">
        <v>0</v>
      </c>
      <c r="DC58" s="300">
        <v>0</v>
      </c>
      <c r="DD58" s="300">
        <v>0</v>
      </c>
      <c r="DE58" s="300">
        <v>0</v>
      </c>
      <c r="DF58" s="300">
        <v>0</v>
      </c>
      <c r="DG58" s="300">
        <v>0</v>
      </c>
      <c r="DH58" s="300">
        <v>0</v>
      </c>
      <c r="DI58" s="300">
        <v>0</v>
      </c>
      <c r="DJ58" s="300">
        <v>0</v>
      </c>
      <c r="DK58" s="300">
        <v>0</v>
      </c>
      <c r="DL58" s="300">
        <v>0</v>
      </c>
      <c r="DM58" s="300">
        <v>0</v>
      </c>
      <c r="DN58" s="300">
        <v>0</v>
      </c>
      <c r="DO58" s="300">
        <v>0</v>
      </c>
      <c r="DP58" s="300">
        <v>0</v>
      </c>
      <c r="DQ58" s="300">
        <v>0</v>
      </c>
      <c r="DR58" s="300">
        <v>0</v>
      </c>
      <c r="DS58" s="300">
        <v>0</v>
      </c>
      <c r="DT58" s="300">
        <v>0</v>
      </c>
      <c r="DU58" s="300">
        <v>0</v>
      </c>
      <c r="DV58" s="300">
        <v>0</v>
      </c>
      <c r="DW58" s="296">
        <f t="shared" si="40"/>
        <v>508666666.66666669</v>
      </c>
      <c r="DX58" s="296">
        <f t="shared" si="40"/>
        <v>437517019.27600002</v>
      </c>
      <c r="DY58" s="296">
        <f t="shared" si="40"/>
        <v>199419516.74400002</v>
      </c>
      <c r="DZ58" s="296">
        <f t="shared" si="40"/>
        <v>196621875.14399999</v>
      </c>
      <c r="EA58" s="287"/>
    </row>
    <row r="59" spans="1:132" ht="45.75" customHeight="1" x14ac:dyDescent="0.2">
      <c r="A59" s="305" t="s">
        <v>2036</v>
      </c>
      <c r="B59" s="298"/>
      <c r="C59" s="299">
        <f t="shared" ref="C59:C62" si="77">1650000000/5</f>
        <v>330000000</v>
      </c>
      <c r="D59" s="299">
        <f t="shared" ref="D59:D62" si="78">1621957608.38/5</f>
        <v>324391521.676</v>
      </c>
      <c r="E59" s="299">
        <f t="shared" ref="E59:E62" si="79">960275059.72/5</f>
        <v>192055011.94400001</v>
      </c>
      <c r="F59" s="299">
        <f t="shared" ref="F59:F62" si="80">956556709.72/5</f>
        <v>191311341.94400001</v>
      </c>
      <c r="G59" s="299">
        <f t="shared" ref="G59:G62" si="81">150000000/5</f>
        <v>30000000</v>
      </c>
      <c r="H59" s="299">
        <v>0</v>
      </c>
      <c r="I59" s="299">
        <v>0</v>
      </c>
      <c r="J59" s="299">
        <v>0</v>
      </c>
      <c r="K59" s="299">
        <v>0</v>
      </c>
      <c r="L59" s="299">
        <v>0</v>
      </c>
      <c r="M59" s="299">
        <v>0</v>
      </c>
      <c r="N59" s="299">
        <v>0</v>
      </c>
      <c r="O59" s="299">
        <v>0</v>
      </c>
      <c r="P59" s="299">
        <v>0</v>
      </c>
      <c r="Q59" s="299">
        <v>0</v>
      </c>
      <c r="R59" s="299">
        <v>0</v>
      </c>
      <c r="S59" s="299">
        <v>0</v>
      </c>
      <c r="T59" s="299">
        <v>0</v>
      </c>
      <c r="U59" s="299">
        <v>0</v>
      </c>
      <c r="V59" s="299">
        <v>0</v>
      </c>
      <c r="W59" s="299">
        <v>0</v>
      </c>
      <c r="X59" s="299">
        <v>0</v>
      </c>
      <c r="Y59" s="299">
        <v>0</v>
      </c>
      <c r="Z59" s="299">
        <v>0</v>
      </c>
      <c r="AA59" s="299">
        <v>0</v>
      </c>
      <c r="AB59" s="299">
        <v>0</v>
      </c>
      <c r="AC59" s="299">
        <v>0</v>
      </c>
      <c r="AD59" s="299">
        <v>0</v>
      </c>
      <c r="AE59" s="299">
        <v>0</v>
      </c>
      <c r="AF59" s="299">
        <v>0</v>
      </c>
      <c r="AG59" s="299">
        <v>0</v>
      </c>
      <c r="AH59" s="299">
        <v>0</v>
      </c>
      <c r="AI59" s="299">
        <v>0</v>
      </c>
      <c r="AJ59" s="299">
        <v>0</v>
      </c>
      <c r="AK59" s="299">
        <v>0</v>
      </c>
      <c r="AL59" s="299">
        <v>0</v>
      </c>
      <c r="AM59" s="299">
        <f t="shared" ref="AM59:AM62" si="82">160000000/5</f>
        <v>32000000</v>
      </c>
      <c r="AN59" s="299">
        <f t="shared" ref="AN59:AN62" si="83">65627488/5</f>
        <v>13125497.6</v>
      </c>
      <c r="AO59" s="299">
        <f t="shared" ref="AO59:AO62" si="84">36822524/5</f>
        <v>7364504.7999999998</v>
      </c>
      <c r="AP59" s="299">
        <f t="shared" ref="AP59:AP62" si="85">26552666/5</f>
        <v>5310533.2</v>
      </c>
      <c r="AQ59" s="306">
        <v>0</v>
      </c>
      <c r="AR59" s="306">
        <v>0</v>
      </c>
      <c r="AS59" s="306">
        <v>0</v>
      </c>
      <c r="AT59" s="306">
        <v>0</v>
      </c>
      <c r="AU59" s="306">
        <v>0</v>
      </c>
      <c r="AV59" s="306">
        <v>0</v>
      </c>
      <c r="AW59" s="306">
        <v>0</v>
      </c>
      <c r="AX59" s="306">
        <v>0</v>
      </c>
      <c r="AY59" s="306">
        <v>0</v>
      </c>
      <c r="AZ59" s="306">
        <v>0</v>
      </c>
      <c r="BA59" s="306">
        <v>0</v>
      </c>
      <c r="BB59" s="306">
        <v>0</v>
      </c>
      <c r="BC59" s="306"/>
      <c r="BD59" s="306"/>
      <c r="BE59" s="306"/>
      <c r="BF59" s="306"/>
      <c r="BG59" s="306">
        <v>0</v>
      </c>
      <c r="BH59" s="306">
        <v>0</v>
      </c>
      <c r="BI59" s="306">
        <v>0</v>
      </c>
      <c r="BJ59" s="306">
        <v>0</v>
      </c>
      <c r="BK59" s="300">
        <f t="shared" ref="BK59:BK60" si="86">350000000/3</f>
        <v>116666666.66666667</v>
      </c>
      <c r="BL59" s="300">
        <f t="shared" ref="BL59:BL60" si="87">300000000/3</f>
        <v>100000000</v>
      </c>
      <c r="BM59" s="306">
        <v>0</v>
      </c>
      <c r="BN59" s="306">
        <v>0</v>
      </c>
      <c r="BO59" s="306">
        <v>0</v>
      </c>
      <c r="BP59" s="306">
        <v>0</v>
      </c>
      <c r="BQ59" s="306">
        <v>0</v>
      </c>
      <c r="BR59" s="300">
        <v>0</v>
      </c>
      <c r="BS59" s="300">
        <v>0</v>
      </c>
      <c r="BT59" s="300">
        <v>0</v>
      </c>
      <c r="BU59" s="300">
        <v>0</v>
      </c>
      <c r="BV59" s="300">
        <v>0</v>
      </c>
      <c r="BW59" s="306">
        <v>0</v>
      </c>
      <c r="BX59" s="306">
        <v>0</v>
      </c>
      <c r="BY59" s="306">
        <v>0</v>
      </c>
      <c r="BZ59" s="306">
        <v>0</v>
      </c>
      <c r="CA59" s="306">
        <v>0</v>
      </c>
      <c r="CB59" s="306">
        <v>0</v>
      </c>
      <c r="CC59" s="306">
        <v>0</v>
      </c>
      <c r="CD59" s="306">
        <v>0</v>
      </c>
      <c r="CE59" s="306">
        <v>0</v>
      </c>
      <c r="CF59" s="306">
        <v>0</v>
      </c>
      <c r="CG59" s="306">
        <v>0</v>
      </c>
      <c r="CH59" s="306">
        <v>0</v>
      </c>
      <c r="CI59" s="306">
        <v>0</v>
      </c>
      <c r="CJ59" s="306">
        <v>0</v>
      </c>
      <c r="CK59" s="306">
        <v>0</v>
      </c>
      <c r="CL59" s="306">
        <v>0</v>
      </c>
      <c r="CM59" s="306">
        <v>0</v>
      </c>
      <c r="CN59" s="306">
        <v>0</v>
      </c>
      <c r="CO59" s="306">
        <v>0</v>
      </c>
      <c r="CP59" s="306">
        <v>0</v>
      </c>
      <c r="CQ59" s="306">
        <v>0</v>
      </c>
      <c r="CR59" s="306">
        <v>0</v>
      </c>
      <c r="CS59" s="306">
        <v>0</v>
      </c>
      <c r="CT59" s="306">
        <v>0</v>
      </c>
      <c r="CU59" s="306">
        <v>0</v>
      </c>
      <c r="CV59" s="306">
        <v>0</v>
      </c>
      <c r="CW59" s="306">
        <v>0</v>
      </c>
      <c r="CX59" s="306">
        <v>0</v>
      </c>
      <c r="CY59" s="306">
        <v>0</v>
      </c>
      <c r="CZ59" s="306">
        <v>0</v>
      </c>
      <c r="DA59" s="306">
        <v>0</v>
      </c>
      <c r="DB59" s="306">
        <v>0</v>
      </c>
      <c r="DC59" s="306">
        <v>0</v>
      </c>
      <c r="DD59" s="306">
        <v>0</v>
      </c>
      <c r="DE59" s="306">
        <v>0</v>
      </c>
      <c r="DF59" s="306">
        <v>0</v>
      </c>
      <c r="DG59" s="306">
        <v>0</v>
      </c>
      <c r="DH59" s="306">
        <v>0</v>
      </c>
      <c r="DI59" s="306">
        <v>0</v>
      </c>
      <c r="DJ59" s="306">
        <v>0</v>
      </c>
      <c r="DK59" s="306">
        <v>0</v>
      </c>
      <c r="DL59" s="306">
        <v>0</v>
      </c>
      <c r="DM59" s="306">
        <v>0</v>
      </c>
      <c r="DN59" s="306">
        <v>0</v>
      </c>
      <c r="DO59" s="306">
        <v>0</v>
      </c>
      <c r="DP59" s="306">
        <v>0</v>
      </c>
      <c r="DQ59" s="306">
        <v>0</v>
      </c>
      <c r="DR59" s="306">
        <v>0</v>
      </c>
      <c r="DS59" s="306">
        <v>0</v>
      </c>
      <c r="DT59" s="306">
        <v>0</v>
      </c>
      <c r="DU59" s="306">
        <v>0</v>
      </c>
      <c r="DV59" s="306">
        <v>0</v>
      </c>
      <c r="DW59" s="296">
        <f t="shared" si="40"/>
        <v>508666666.66666669</v>
      </c>
      <c r="DX59" s="296">
        <f t="shared" si="40"/>
        <v>437517019.27600002</v>
      </c>
      <c r="DY59" s="296">
        <f t="shared" si="40"/>
        <v>199419516.74400002</v>
      </c>
      <c r="DZ59" s="296">
        <f t="shared" si="40"/>
        <v>196621875.14399999</v>
      </c>
      <c r="EA59" s="287"/>
    </row>
    <row r="60" spans="1:132" ht="45.75" customHeight="1" x14ac:dyDescent="0.2">
      <c r="A60" s="305" t="s">
        <v>2037</v>
      </c>
      <c r="B60" s="298"/>
      <c r="C60" s="299">
        <f t="shared" si="77"/>
        <v>330000000</v>
      </c>
      <c r="D60" s="299">
        <f t="shared" si="78"/>
        <v>324391521.676</v>
      </c>
      <c r="E60" s="299">
        <f t="shared" si="79"/>
        <v>192055011.94400001</v>
      </c>
      <c r="F60" s="299">
        <f t="shared" si="80"/>
        <v>191311341.94400001</v>
      </c>
      <c r="G60" s="299">
        <f t="shared" si="81"/>
        <v>30000000</v>
      </c>
      <c r="H60" s="299">
        <v>0</v>
      </c>
      <c r="I60" s="299">
        <v>0</v>
      </c>
      <c r="J60" s="299">
        <v>0</v>
      </c>
      <c r="K60" s="299">
        <v>0</v>
      </c>
      <c r="L60" s="299">
        <v>0</v>
      </c>
      <c r="M60" s="299">
        <v>0</v>
      </c>
      <c r="N60" s="299">
        <v>0</v>
      </c>
      <c r="O60" s="299">
        <v>0</v>
      </c>
      <c r="P60" s="299">
        <v>0</v>
      </c>
      <c r="Q60" s="299">
        <v>0</v>
      </c>
      <c r="R60" s="299">
        <v>0</v>
      </c>
      <c r="S60" s="299">
        <v>0</v>
      </c>
      <c r="T60" s="299">
        <v>0</v>
      </c>
      <c r="U60" s="299">
        <v>0</v>
      </c>
      <c r="V60" s="299">
        <v>0</v>
      </c>
      <c r="W60" s="299">
        <v>0</v>
      </c>
      <c r="X60" s="299">
        <v>0</v>
      </c>
      <c r="Y60" s="299">
        <v>0</v>
      </c>
      <c r="Z60" s="299">
        <v>0</v>
      </c>
      <c r="AA60" s="299">
        <v>0</v>
      </c>
      <c r="AB60" s="299">
        <v>0</v>
      </c>
      <c r="AC60" s="299">
        <v>0</v>
      </c>
      <c r="AD60" s="299">
        <v>0</v>
      </c>
      <c r="AE60" s="299">
        <v>0</v>
      </c>
      <c r="AF60" s="299">
        <v>0</v>
      </c>
      <c r="AG60" s="299">
        <v>0</v>
      </c>
      <c r="AH60" s="299">
        <v>0</v>
      </c>
      <c r="AI60" s="299">
        <v>0</v>
      </c>
      <c r="AJ60" s="299">
        <v>0</v>
      </c>
      <c r="AK60" s="299">
        <v>0</v>
      </c>
      <c r="AL60" s="299">
        <v>0</v>
      </c>
      <c r="AM60" s="299">
        <f t="shared" si="82"/>
        <v>32000000</v>
      </c>
      <c r="AN60" s="299">
        <f t="shared" si="83"/>
        <v>13125497.6</v>
      </c>
      <c r="AO60" s="299">
        <f t="shared" si="84"/>
        <v>7364504.7999999998</v>
      </c>
      <c r="AP60" s="299">
        <f t="shared" si="85"/>
        <v>5310533.2</v>
      </c>
      <c r="AQ60" s="306">
        <v>0</v>
      </c>
      <c r="AR60" s="306">
        <v>0</v>
      </c>
      <c r="AS60" s="306">
        <v>0</v>
      </c>
      <c r="AT60" s="306">
        <v>0</v>
      </c>
      <c r="AU60" s="306">
        <v>0</v>
      </c>
      <c r="AV60" s="306">
        <v>0</v>
      </c>
      <c r="AW60" s="306">
        <v>0</v>
      </c>
      <c r="AX60" s="306">
        <v>0</v>
      </c>
      <c r="AY60" s="306">
        <v>0</v>
      </c>
      <c r="AZ60" s="306">
        <v>0</v>
      </c>
      <c r="BA60" s="306">
        <v>0</v>
      </c>
      <c r="BB60" s="306">
        <v>0</v>
      </c>
      <c r="BC60" s="300">
        <f>982742562+930183376.29+256695131.88+7853445900</f>
        <v>10023066970.17</v>
      </c>
      <c r="BD60" s="300">
        <f>982742562+930183376.29+256695131.88+7853445900</f>
        <v>10023066970.17</v>
      </c>
      <c r="BE60" s="300">
        <f>902889776.3+256695131.88+1507314182.84</f>
        <v>2666899091.0199995</v>
      </c>
      <c r="BF60" s="300">
        <f>533588903.3+256695131.88+1507314182.84</f>
        <v>2297598218.02</v>
      </c>
      <c r="BG60" s="306">
        <v>0</v>
      </c>
      <c r="BH60" s="306">
        <v>0</v>
      </c>
      <c r="BI60" s="306">
        <v>0</v>
      </c>
      <c r="BJ60" s="306">
        <v>0</v>
      </c>
      <c r="BK60" s="300">
        <f t="shared" si="86"/>
        <v>116666666.66666667</v>
      </c>
      <c r="BL60" s="300">
        <f t="shared" si="87"/>
        <v>100000000</v>
      </c>
      <c r="BM60" s="306"/>
      <c r="BN60" s="306">
        <f>+[4]INFORME_PCT!$J$302</f>
        <v>0</v>
      </c>
      <c r="BO60" s="306">
        <v>0</v>
      </c>
      <c r="BP60" s="306">
        <v>0</v>
      </c>
      <c r="BQ60" s="306">
        <v>0</v>
      </c>
      <c r="BR60" s="300">
        <v>0</v>
      </c>
      <c r="BS60" s="300">
        <v>0</v>
      </c>
      <c r="BT60" s="300">
        <v>0</v>
      </c>
      <c r="BU60" s="300">
        <v>0</v>
      </c>
      <c r="BV60" s="300">
        <v>0</v>
      </c>
      <c r="BW60" s="306"/>
      <c r="BX60" s="306"/>
      <c r="BY60" s="306">
        <v>0</v>
      </c>
      <c r="BZ60" s="306">
        <v>0</v>
      </c>
      <c r="CA60" s="306">
        <v>0</v>
      </c>
      <c r="CB60" s="306">
        <v>0</v>
      </c>
      <c r="CC60" s="306">
        <v>0</v>
      </c>
      <c r="CD60" s="306">
        <v>0</v>
      </c>
      <c r="CE60" s="306">
        <v>0</v>
      </c>
      <c r="CF60" s="306">
        <v>0</v>
      </c>
      <c r="CG60" s="306">
        <v>0</v>
      </c>
      <c r="CH60" s="306">
        <v>0</v>
      </c>
      <c r="CI60" s="306">
        <v>0</v>
      </c>
      <c r="CJ60" s="306">
        <v>0</v>
      </c>
      <c r="CK60" s="306">
        <v>0</v>
      </c>
      <c r="CL60" s="306">
        <v>0</v>
      </c>
      <c r="CM60" s="306">
        <v>0</v>
      </c>
      <c r="CN60" s="306">
        <v>0</v>
      </c>
      <c r="CO60" s="306">
        <v>0</v>
      </c>
      <c r="CP60" s="306">
        <v>0</v>
      </c>
      <c r="CQ60" s="306">
        <v>0</v>
      </c>
      <c r="CR60" s="306">
        <v>0</v>
      </c>
      <c r="CS60" s="306">
        <v>0</v>
      </c>
      <c r="CT60" s="306">
        <v>0</v>
      </c>
      <c r="CU60" s="306">
        <v>0</v>
      </c>
      <c r="CV60" s="306">
        <v>0</v>
      </c>
      <c r="CW60" s="306">
        <v>0</v>
      </c>
      <c r="CX60" s="306">
        <v>0</v>
      </c>
      <c r="CY60" s="306">
        <v>0</v>
      </c>
      <c r="CZ60" s="306">
        <v>0</v>
      </c>
      <c r="DA60" s="306">
        <v>0</v>
      </c>
      <c r="DB60" s="306">
        <v>0</v>
      </c>
      <c r="DC60" s="306">
        <v>0</v>
      </c>
      <c r="DD60" s="306">
        <v>0</v>
      </c>
      <c r="DE60" s="306">
        <v>0</v>
      </c>
      <c r="DF60" s="306">
        <v>0</v>
      </c>
      <c r="DG60" s="306">
        <v>0</v>
      </c>
      <c r="DH60" s="306">
        <v>0</v>
      </c>
      <c r="DI60" s="306">
        <v>0</v>
      </c>
      <c r="DJ60" s="306">
        <v>0</v>
      </c>
      <c r="DK60" s="306">
        <v>0</v>
      </c>
      <c r="DL60" s="306">
        <v>0</v>
      </c>
      <c r="DM60" s="306">
        <v>0</v>
      </c>
      <c r="DN60" s="306">
        <v>0</v>
      </c>
      <c r="DO60" s="306">
        <v>0</v>
      </c>
      <c r="DP60" s="306">
        <v>0</v>
      </c>
      <c r="DQ60" s="306">
        <v>0</v>
      </c>
      <c r="DR60" s="306">
        <v>0</v>
      </c>
      <c r="DS60" s="306">
        <v>0</v>
      </c>
      <c r="DT60" s="306">
        <v>0</v>
      </c>
      <c r="DU60" s="306">
        <v>0</v>
      </c>
      <c r="DV60" s="306">
        <v>0</v>
      </c>
      <c r="DW60" s="296">
        <f t="shared" si="40"/>
        <v>10531733636.836666</v>
      </c>
      <c r="DX60" s="296">
        <f t="shared" si="40"/>
        <v>10460583989.445999</v>
      </c>
      <c r="DY60" s="296">
        <f t="shared" si="40"/>
        <v>2866318607.7639995</v>
      </c>
      <c r="DZ60" s="296">
        <f t="shared" si="40"/>
        <v>2494220093.164</v>
      </c>
      <c r="EA60" s="287"/>
    </row>
    <row r="61" spans="1:132" ht="45.75" customHeight="1" x14ac:dyDescent="0.2">
      <c r="A61" s="293" t="s">
        <v>2038</v>
      </c>
      <c r="B61" s="298"/>
      <c r="C61" s="299">
        <f t="shared" si="77"/>
        <v>330000000</v>
      </c>
      <c r="D61" s="299">
        <f t="shared" si="78"/>
        <v>324391521.676</v>
      </c>
      <c r="E61" s="299">
        <f t="shared" si="79"/>
        <v>192055011.94400001</v>
      </c>
      <c r="F61" s="299">
        <f t="shared" si="80"/>
        <v>191311341.94400001</v>
      </c>
      <c r="G61" s="299">
        <f t="shared" si="81"/>
        <v>30000000</v>
      </c>
      <c r="H61" s="299">
        <v>0</v>
      </c>
      <c r="I61" s="299">
        <v>0</v>
      </c>
      <c r="J61" s="299">
        <v>0</v>
      </c>
      <c r="K61" s="299">
        <v>0</v>
      </c>
      <c r="L61" s="299">
        <v>0</v>
      </c>
      <c r="M61" s="299">
        <v>0</v>
      </c>
      <c r="N61" s="299">
        <v>0</v>
      </c>
      <c r="O61" s="299">
        <v>0</v>
      </c>
      <c r="P61" s="299">
        <v>0</v>
      </c>
      <c r="Q61" s="299">
        <v>0</v>
      </c>
      <c r="R61" s="299">
        <v>0</v>
      </c>
      <c r="S61" s="299">
        <v>0</v>
      </c>
      <c r="T61" s="299">
        <v>0</v>
      </c>
      <c r="U61" s="299">
        <v>0</v>
      </c>
      <c r="V61" s="299">
        <v>0</v>
      </c>
      <c r="W61" s="299">
        <v>0</v>
      </c>
      <c r="X61" s="299">
        <v>0</v>
      </c>
      <c r="Y61" s="299">
        <v>0</v>
      </c>
      <c r="Z61" s="299">
        <v>0</v>
      </c>
      <c r="AA61" s="299">
        <v>0</v>
      </c>
      <c r="AB61" s="299">
        <v>0</v>
      </c>
      <c r="AC61" s="299">
        <v>0</v>
      </c>
      <c r="AD61" s="299">
        <v>0</v>
      </c>
      <c r="AE61" s="299">
        <v>0</v>
      </c>
      <c r="AF61" s="299">
        <v>0</v>
      </c>
      <c r="AG61" s="299">
        <v>0</v>
      </c>
      <c r="AH61" s="299">
        <v>0</v>
      </c>
      <c r="AI61" s="299">
        <v>0</v>
      </c>
      <c r="AJ61" s="299">
        <v>0</v>
      </c>
      <c r="AK61" s="299">
        <v>0</v>
      </c>
      <c r="AL61" s="299">
        <v>0</v>
      </c>
      <c r="AM61" s="299">
        <f t="shared" si="82"/>
        <v>32000000</v>
      </c>
      <c r="AN61" s="299">
        <f t="shared" si="83"/>
        <v>13125497.6</v>
      </c>
      <c r="AO61" s="299">
        <f t="shared" si="84"/>
        <v>7364504.7999999998</v>
      </c>
      <c r="AP61" s="299">
        <f t="shared" si="85"/>
        <v>5310533.2</v>
      </c>
      <c r="AQ61" s="295">
        <v>0</v>
      </c>
      <c r="AR61" s="295">
        <v>0</v>
      </c>
      <c r="AS61" s="295">
        <v>0</v>
      </c>
      <c r="AT61" s="295">
        <v>0</v>
      </c>
      <c r="AU61" s="295">
        <v>0</v>
      </c>
      <c r="AV61" s="295">
        <v>0</v>
      </c>
      <c r="AW61" s="295">
        <v>0</v>
      </c>
      <c r="AX61" s="295">
        <v>0</v>
      </c>
      <c r="AY61" s="295">
        <v>0</v>
      </c>
      <c r="AZ61" s="295">
        <v>0</v>
      </c>
      <c r="BA61" s="295">
        <v>0</v>
      </c>
      <c r="BB61" s="295">
        <v>0</v>
      </c>
      <c r="BC61" s="295"/>
      <c r="BD61" s="295"/>
      <c r="BE61" s="295"/>
      <c r="BF61" s="295"/>
      <c r="BG61" s="295">
        <v>0</v>
      </c>
      <c r="BH61" s="295">
        <v>0</v>
      </c>
      <c r="BI61" s="295">
        <v>0</v>
      </c>
      <c r="BJ61" s="295">
        <v>0</v>
      </c>
      <c r="BK61" s="295">
        <v>0</v>
      </c>
      <c r="BL61" s="295">
        <v>0</v>
      </c>
      <c r="BM61" s="295">
        <v>0</v>
      </c>
      <c r="BN61" s="295">
        <v>0</v>
      </c>
      <c r="BO61" s="295">
        <v>0</v>
      </c>
      <c r="BP61" s="295">
        <v>0</v>
      </c>
      <c r="BQ61" s="295">
        <v>0</v>
      </c>
      <c r="BR61" s="300">
        <v>0</v>
      </c>
      <c r="BS61" s="300">
        <v>0</v>
      </c>
      <c r="BT61" s="300">
        <v>0</v>
      </c>
      <c r="BU61" s="300">
        <v>0</v>
      </c>
      <c r="BV61" s="300">
        <v>0</v>
      </c>
      <c r="BW61" s="295">
        <v>0</v>
      </c>
      <c r="BX61" s="295">
        <v>0</v>
      </c>
      <c r="BY61" s="295">
        <v>0</v>
      </c>
      <c r="BZ61" s="295">
        <v>0</v>
      </c>
      <c r="CA61" s="295">
        <v>0</v>
      </c>
      <c r="CB61" s="295">
        <v>0</v>
      </c>
      <c r="CC61" s="295">
        <v>0</v>
      </c>
      <c r="CD61" s="295">
        <v>0</v>
      </c>
      <c r="CE61" s="295">
        <v>0</v>
      </c>
      <c r="CF61" s="295">
        <v>0</v>
      </c>
      <c r="CG61" s="295">
        <v>0</v>
      </c>
      <c r="CH61" s="295">
        <v>0</v>
      </c>
      <c r="CI61" s="295">
        <v>0</v>
      </c>
      <c r="CJ61" s="295">
        <v>0</v>
      </c>
      <c r="CK61" s="295">
        <v>0</v>
      </c>
      <c r="CL61" s="295">
        <v>0</v>
      </c>
      <c r="CM61" s="295">
        <v>0</v>
      </c>
      <c r="CN61" s="295">
        <v>0</v>
      </c>
      <c r="CO61" s="295">
        <v>0</v>
      </c>
      <c r="CP61" s="295">
        <v>0</v>
      </c>
      <c r="CQ61" s="295">
        <v>0</v>
      </c>
      <c r="CR61" s="295">
        <v>0</v>
      </c>
      <c r="CS61" s="295">
        <v>0</v>
      </c>
      <c r="CT61" s="295">
        <v>0</v>
      </c>
      <c r="CU61" s="295">
        <v>0</v>
      </c>
      <c r="CV61" s="295">
        <v>0</v>
      </c>
      <c r="CW61" s="295">
        <v>0</v>
      </c>
      <c r="CX61" s="295">
        <v>0</v>
      </c>
      <c r="CY61" s="295">
        <v>0</v>
      </c>
      <c r="CZ61" s="295">
        <v>0</v>
      </c>
      <c r="DA61" s="295">
        <v>0</v>
      </c>
      <c r="DB61" s="295">
        <v>0</v>
      </c>
      <c r="DC61" s="295">
        <v>0</v>
      </c>
      <c r="DD61" s="295">
        <v>0</v>
      </c>
      <c r="DE61" s="295">
        <v>0</v>
      </c>
      <c r="DF61" s="295">
        <v>0</v>
      </c>
      <c r="DG61" s="295">
        <v>0</v>
      </c>
      <c r="DH61" s="295">
        <v>0</v>
      </c>
      <c r="DI61" s="295">
        <v>0</v>
      </c>
      <c r="DJ61" s="295">
        <v>0</v>
      </c>
      <c r="DK61" s="295">
        <v>0</v>
      </c>
      <c r="DL61" s="295">
        <v>0</v>
      </c>
      <c r="DM61" s="295">
        <v>0</v>
      </c>
      <c r="DN61" s="295">
        <v>0</v>
      </c>
      <c r="DO61" s="295">
        <v>0</v>
      </c>
      <c r="DP61" s="295">
        <v>0</v>
      </c>
      <c r="DQ61" s="295">
        <v>0</v>
      </c>
      <c r="DR61" s="295">
        <v>0</v>
      </c>
      <c r="DS61" s="295">
        <v>0</v>
      </c>
      <c r="DT61" s="295">
        <v>0</v>
      </c>
      <c r="DU61" s="295">
        <v>0</v>
      </c>
      <c r="DV61" s="295">
        <v>0</v>
      </c>
      <c r="DW61" s="296">
        <f t="shared" si="40"/>
        <v>392000000</v>
      </c>
      <c r="DX61" s="296">
        <f t="shared" si="40"/>
        <v>337517019.27600002</v>
      </c>
      <c r="DY61" s="296">
        <f t="shared" si="40"/>
        <v>199419516.74400002</v>
      </c>
      <c r="DZ61" s="296">
        <f t="shared" si="40"/>
        <v>196621875.14399999</v>
      </c>
      <c r="EA61" s="309"/>
    </row>
    <row r="62" spans="1:132" ht="45.75" customHeight="1" x14ac:dyDescent="0.2">
      <c r="A62" s="297" t="s">
        <v>2039</v>
      </c>
      <c r="B62" s="301"/>
      <c r="C62" s="299">
        <f t="shared" si="77"/>
        <v>330000000</v>
      </c>
      <c r="D62" s="299">
        <f t="shared" si="78"/>
        <v>324391521.676</v>
      </c>
      <c r="E62" s="299">
        <f t="shared" si="79"/>
        <v>192055011.94400001</v>
      </c>
      <c r="F62" s="299">
        <f t="shared" si="80"/>
        <v>191311341.94400001</v>
      </c>
      <c r="G62" s="299">
        <f t="shared" si="81"/>
        <v>30000000</v>
      </c>
      <c r="H62" s="299">
        <v>0</v>
      </c>
      <c r="I62" s="299">
        <v>0</v>
      </c>
      <c r="J62" s="299">
        <v>0</v>
      </c>
      <c r="K62" s="299">
        <v>0</v>
      </c>
      <c r="L62" s="299">
        <v>0</v>
      </c>
      <c r="M62" s="299">
        <v>0</v>
      </c>
      <c r="N62" s="299">
        <v>0</v>
      </c>
      <c r="O62" s="299">
        <v>0</v>
      </c>
      <c r="P62" s="299">
        <v>0</v>
      </c>
      <c r="Q62" s="299">
        <v>0</v>
      </c>
      <c r="R62" s="299">
        <v>0</v>
      </c>
      <c r="S62" s="299">
        <v>0</v>
      </c>
      <c r="T62" s="299">
        <v>0</v>
      </c>
      <c r="U62" s="299">
        <v>0</v>
      </c>
      <c r="V62" s="299">
        <v>0</v>
      </c>
      <c r="W62" s="299">
        <v>0</v>
      </c>
      <c r="X62" s="299">
        <v>0</v>
      </c>
      <c r="Y62" s="299">
        <v>0</v>
      </c>
      <c r="Z62" s="299">
        <v>0</v>
      </c>
      <c r="AA62" s="299">
        <v>0</v>
      </c>
      <c r="AB62" s="299">
        <v>0</v>
      </c>
      <c r="AC62" s="299">
        <v>0</v>
      </c>
      <c r="AD62" s="299">
        <v>0</v>
      </c>
      <c r="AE62" s="299">
        <v>0</v>
      </c>
      <c r="AF62" s="299">
        <v>0</v>
      </c>
      <c r="AG62" s="299">
        <v>0</v>
      </c>
      <c r="AH62" s="299">
        <v>0</v>
      </c>
      <c r="AI62" s="299">
        <v>0</v>
      </c>
      <c r="AJ62" s="299">
        <v>0</v>
      </c>
      <c r="AK62" s="299">
        <v>0</v>
      </c>
      <c r="AL62" s="299">
        <v>0</v>
      </c>
      <c r="AM62" s="299">
        <f t="shared" si="82"/>
        <v>32000000</v>
      </c>
      <c r="AN62" s="299">
        <f t="shared" si="83"/>
        <v>13125497.6</v>
      </c>
      <c r="AO62" s="299">
        <f t="shared" si="84"/>
        <v>7364504.7999999998</v>
      </c>
      <c r="AP62" s="299">
        <f t="shared" si="85"/>
        <v>5310533.2</v>
      </c>
      <c r="AQ62" s="300">
        <v>0</v>
      </c>
      <c r="AR62" s="300">
        <v>0</v>
      </c>
      <c r="AS62" s="300">
        <v>0</v>
      </c>
      <c r="AT62" s="300">
        <v>0</v>
      </c>
      <c r="AU62" s="300">
        <v>0</v>
      </c>
      <c r="AV62" s="300">
        <v>0</v>
      </c>
      <c r="AW62" s="300">
        <v>0</v>
      </c>
      <c r="AX62" s="300">
        <v>0</v>
      </c>
      <c r="AY62" s="300">
        <v>0</v>
      </c>
      <c r="AZ62" s="300">
        <v>0</v>
      </c>
      <c r="BA62" s="300">
        <v>0</v>
      </c>
      <c r="BB62" s="300">
        <v>0</v>
      </c>
      <c r="BC62" s="300"/>
      <c r="BD62" s="300">
        <v>0</v>
      </c>
      <c r="BE62" s="300">
        <v>0</v>
      </c>
      <c r="BF62" s="300">
        <v>0</v>
      </c>
      <c r="BG62" s="300">
        <v>0</v>
      </c>
      <c r="BH62" s="300">
        <v>0</v>
      </c>
      <c r="BI62" s="300">
        <v>0</v>
      </c>
      <c r="BJ62" s="300">
        <v>0</v>
      </c>
      <c r="BK62" s="300">
        <v>0</v>
      </c>
      <c r="BL62" s="300">
        <v>0</v>
      </c>
      <c r="BM62" s="300">
        <v>0</v>
      </c>
      <c r="BN62" s="300">
        <v>0</v>
      </c>
      <c r="BO62" s="300">
        <v>0</v>
      </c>
      <c r="BP62" s="300">
        <v>0</v>
      </c>
      <c r="BQ62" s="300">
        <v>0</v>
      </c>
      <c r="BR62" s="300">
        <v>0</v>
      </c>
      <c r="BS62" s="300">
        <v>0</v>
      </c>
      <c r="BT62" s="300">
        <v>0</v>
      </c>
      <c r="BU62" s="300">
        <v>0</v>
      </c>
      <c r="BV62" s="300">
        <v>0</v>
      </c>
      <c r="BW62" s="300">
        <v>0</v>
      </c>
      <c r="BX62" s="300">
        <v>0</v>
      </c>
      <c r="BY62" s="300">
        <v>0</v>
      </c>
      <c r="BZ62" s="300">
        <v>0</v>
      </c>
      <c r="CA62" s="300">
        <v>0</v>
      </c>
      <c r="CB62" s="300">
        <v>0</v>
      </c>
      <c r="CC62" s="300">
        <v>0</v>
      </c>
      <c r="CD62" s="300">
        <v>0</v>
      </c>
      <c r="CE62" s="300">
        <v>0</v>
      </c>
      <c r="CF62" s="300">
        <v>0</v>
      </c>
      <c r="CG62" s="300">
        <v>0</v>
      </c>
      <c r="CH62" s="300">
        <v>0</v>
      </c>
      <c r="CI62" s="300">
        <v>0</v>
      </c>
      <c r="CJ62" s="300">
        <v>0</v>
      </c>
      <c r="CK62" s="300">
        <v>0</v>
      </c>
      <c r="CL62" s="300">
        <v>0</v>
      </c>
      <c r="CM62" s="300">
        <v>0</v>
      </c>
      <c r="CN62" s="300">
        <v>0</v>
      </c>
      <c r="CO62" s="300">
        <v>0</v>
      </c>
      <c r="CP62" s="300">
        <v>0</v>
      </c>
      <c r="CQ62" s="300">
        <v>0</v>
      </c>
      <c r="CR62" s="300">
        <v>0</v>
      </c>
      <c r="CS62" s="300">
        <v>0</v>
      </c>
      <c r="CT62" s="300">
        <v>0</v>
      </c>
      <c r="CU62" s="300">
        <v>0</v>
      </c>
      <c r="CV62" s="300">
        <v>0</v>
      </c>
      <c r="CW62" s="300">
        <v>0</v>
      </c>
      <c r="CX62" s="300">
        <v>0</v>
      </c>
      <c r="CY62" s="300">
        <v>0</v>
      </c>
      <c r="CZ62" s="300">
        <v>0</v>
      </c>
      <c r="DA62" s="300">
        <v>0</v>
      </c>
      <c r="DB62" s="300">
        <v>0</v>
      </c>
      <c r="DC62" s="300">
        <v>0</v>
      </c>
      <c r="DD62" s="300">
        <v>0</v>
      </c>
      <c r="DE62" s="300">
        <v>0</v>
      </c>
      <c r="DF62" s="300">
        <v>0</v>
      </c>
      <c r="DG62" s="300">
        <v>0</v>
      </c>
      <c r="DH62" s="300">
        <v>0</v>
      </c>
      <c r="DI62" s="300">
        <v>0</v>
      </c>
      <c r="DJ62" s="300">
        <v>0</v>
      </c>
      <c r="DK62" s="300">
        <v>0</v>
      </c>
      <c r="DL62" s="300">
        <v>0</v>
      </c>
      <c r="DM62" s="300">
        <v>0</v>
      </c>
      <c r="DN62" s="300">
        <v>0</v>
      </c>
      <c r="DO62" s="300">
        <v>0</v>
      </c>
      <c r="DP62" s="300">
        <v>0</v>
      </c>
      <c r="DQ62" s="300">
        <v>0</v>
      </c>
      <c r="DR62" s="300">
        <v>0</v>
      </c>
      <c r="DS62" s="300">
        <v>0</v>
      </c>
      <c r="DT62" s="300">
        <v>0</v>
      </c>
      <c r="DU62" s="300">
        <v>0</v>
      </c>
      <c r="DV62" s="300">
        <v>0</v>
      </c>
      <c r="DW62" s="296">
        <f t="shared" si="40"/>
        <v>392000000</v>
      </c>
      <c r="DX62" s="296">
        <f t="shared" si="40"/>
        <v>337517019.27600002</v>
      </c>
      <c r="DY62" s="296">
        <f t="shared" si="40"/>
        <v>199419516.74400002</v>
      </c>
      <c r="DZ62" s="296">
        <f t="shared" si="40"/>
        <v>196621875.14399999</v>
      </c>
      <c r="EA62" s="302">
        <f>+SUM(DW58:DW62)-B58</f>
        <v>0</v>
      </c>
    </row>
    <row r="63" spans="1:132" ht="45.75" customHeight="1" x14ac:dyDescent="0.2">
      <c r="A63" s="303" t="s">
        <v>2040</v>
      </c>
      <c r="B63" s="290">
        <f t="shared" ref="B63:BJ63" si="88">SUM(B64:B65)</f>
        <v>756000000</v>
      </c>
      <c r="C63" s="290">
        <f t="shared" si="88"/>
        <v>492000000</v>
      </c>
      <c r="D63" s="290">
        <f t="shared" si="88"/>
        <v>307183593.5</v>
      </c>
      <c r="E63" s="290">
        <f t="shared" si="88"/>
        <v>61925350</v>
      </c>
      <c r="F63" s="290">
        <f t="shared" si="88"/>
        <v>61925350</v>
      </c>
      <c r="G63" s="290">
        <f t="shared" si="88"/>
        <v>0</v>
      </c>
      <c r="H63" s="290">
        <f t="shared" si="88"/>
        <v>0</v>
      </c>
      <c r="I63" s="290">
        <f t="shared" si="88"/>
        <v>0</v>
      </c>
      <c r="J63" s="290">
        <f t="shared" si="88"/>
        <v>0</v>
      </c>
      <c r="K63" s="290">
        <f t="shared" si="88"/>
        <v>0</v>
      </c>
      <c r="L63" s="290">
        <f t="shared" si="88"/>
        <v>0</v>
      </c>
      <c r="M63" s="290">
        <f t="shared" si="88"/>
        <v>0</v>
      </c>
      <c r="N63" s="290">
        <f t="shared" si="88"/>
        <v>0</v>
      </c>
      <c r="O63" s="290">
        <f t="shared" si="88"/>
        <v>0</v>
      </c>
      <c r="P63" s="290">
        <f t="shared" si="88"/>
        <v>0</v>
      </c>
      <c r="Q63" s="290">
        <f t="shared" si="88"/>
        <v>0</v>
      </c>
      <c r="R63" s="290">
        <f t="shared" si="88"/>
        <v>0</v>
      </c>
      <c r="S63" s="290">
        <f t="shared" si="88"/>
        <v>0</v>
      </c>
      <c r="T63" s="290">
        <f t="shared" si="88"/>
        <v>0</v>
      </c>
      <c r="U63" s="290">
        <f t="shared" si="88"/>
        <v>0</v>
      </c>
      <c r="V63" s="290">
        <f t="shared" si="88"/>
        <v>0</v>
      </c>
      <c r="W63" s="290">
        <f t="shared" si="88"/>
        <v>0</v>
      </c>
      <c r="X63" s="290">
        <f t="shared" si="88"/>
        <v>0</v>
      </c>
      <c r="Y63" s="290">
        <f t="shared" si="88"/>
        <v>0</v>
      </c>
      <c r="Z63" s="290">
        <f t="shared" si="88"/>
        <v>0</v>
      </c>
      <c r="AA63" s="290">
        <f t="shared" si="88"/>
        <v>0</v>
      </c>
      <c r="AB63" s="290">
        <f t="shared" si="88"/>
        <v>0</v>
      </c>
      <c r="AC63" s="290">
        <f t="shared" si="88"/>
        <v>0</v>
      </c>
      <c r="AD63" s="290">
        <f t="shared" si="88"/>
        <v>0</v>
      </c>
      <c r="AE63" s="290">
        <f t="shared" si="88"/>
        <v>0</v>
      </c>
      <c r="AF63" s="290">
        <f t="shared" si="88"/>
        <v>0</v>
      </c>
      <c r="AG63" s="290">
        <f t="shared" si="88"/>
        <v>0</v>
      </c>
      <c r="AH63" s="290">
        <f t="shared" si="88"/>
        <v>0</v>
      </c>
      <c r="AI63" s="290">
        <f t="shared" si="88"/>
        <v>0</v>
      </c>
      <c r="AJ63" s="290">
        <f t="shared" si="88"/>
        <v>0</v>
      </c>
      <c r="AK63" s="290">
        <f t="shared" si="88"/>
        <v>0</v>
      </c>
      <c r="AL63" s="290">
        <f t="shared" si="88"/>
        <v>0</v>
      </c>
      <c r="AM63" s="290">
        <f t="shared" si="88"/>
        <v>200000000</v>
      </c>
      <c r="AN63" s="290">
        <f t="shared" si="88"/>
        <v>63210463</v>
      </c>
      <c r="AO63" s="290">
        <f t="shared" si="88"/>
        <v>23337648</v>
      </c>
      <c r="AP63" s="290">
        <f t="shared" si="88"/>
        <v>23337648</v>
      </c>
      <c r="AQ63" s="290">
        <f t="shared" si="88"/>
        <v>0</v>
      </c>
      <c r="AR63" s="290">
        <f t="shared" si="88"/>
        <v>0</v>
      </c>
      <c r="AS63" s="290">
        <f t="shared" si="88"/>
        <v>0</v>
      </c>
      <c r="AT63" s="290">
        <f t="shared" si="88"/>
        <v>0</v>
      </c>
      <c r="AU63" s="290">
        <f t="shared" si="88"/>
        <v>0</v>
      </c>
      <c r="AV63" s="290">
        <f t="shared" si="88"/>
        <v>0</v>
      </c>
      <c r="AW63" s="290">
        <f t="shared" si="88"/>
        <v>0</v>
      </c>
      <c r="AX63" s="290">
        <f t="shared" si="88"/>
        <v>0</v>
      </c>
      <c r="AY63" s="290">
        <f t="shared" si="88"/>
        <v>0</v>
      </c>
      <c r="AZ63" s="290">
        <f t="shared" si="88"/>
        <v>0</v>
      </c>
      <c r="BA63" s="290">
        <f t="shared" si="88"/>
        <v>0</v>
      </c>
      <c r="BB63" s="290">
        <f t="shared" si="88"/>
        <v>0</v>
      </c>
      <c r="BC63" s="290">
        <f t="shared" si="88"/>
        <v>0</v>
      </c>
      <c r="BD63" s="290">
        <f t="shared" si="88"/>
        <v>0</v>
      </c>
      <c r="BE63" s="290">
        <f t="shared" si="88"/>
        <v>0</v>
      </c>
      <c r="BF63" s="290">
        <f t="shared" si="88"/>
        <v>0</v>
      </c>
      <c r="BG63" s="290">
        <f t="shared" si="88"/>
        <v>0</v>
      </c>
      <c r="BH63" s="290">
        <f t="shared" si="88"/>
        <v>0</v>
      </c>
      <c r="BI63" s="290">
        <f t="shared" si="88"/>
        <v>0</v>
      </c>
      <c r="BJ63" s="290">
        <f t="shared" si="88"/>
        <v>0</v>
      </c>
      <c r="BK63" s="290">
        <f t="shared" ref="BK63:DV63" si="89">SUM(BK64:BK65)</f>
        <v>0</v>
      </c>
      <c r="BL63" s="290">
        <f t="shared" si="89"/>
        <v>0</v>
      </c>
      <c r="BM63" s="290">
        <f t="shared" si="89"/>
        <v>0</v>
      </c>
      <c r="BN63" s="290">
        <f t="shared" si="89"/>
        <v>0</v>
      </c>
      <c r="BO63" s="290">
        <f t="shared" si="89"/>
        <v>0</v>
      </c>
      <c r="BP63" s="290">
        <f t="shared" si="89"/>
        <v>0</v>
      </c>
      <c r="BQ63" s="290">
        <f t="shared" si="89"/>
        <v>0</v>
      </c>
      <c r="BR63" s="290">
        <f t="shared" si="89"/>
        <v>0</v>
      </c>
      <c r="BS63" s="290">
        <f t="shared" si="89"/>
        <v>0</v>
      </c>
      <c r="BT63" s="290">
        <f t="shared" si="89"/>
        <v>0</v>
      </c>
      <c r="BU63" s="290">
        <f t="shared" si="89"/>
        <v>0</v>
      </c>
      <c r="BV63" s="290">
        <f t="shared" si="89"/>
        <v>0</v>
      </c>
      <c r="BW63" s="290">
        <f t="shared" si="89"/>
        <v>0</v>
      </c>
      <c r="BX63" s="290">
        <f t="shared" si="89"/>
        <v>0</v>
      </c>
      <c r="BY63" s="290">
        <f t="shared" si="89"/>
        <v>0</v>
      </c>
      <c r="BZ63" s="290">
        <f t="shared" si="89"/>
        <v>0</v>
      </c>
      <c r="CA63" s="290">
        <f t="shared" si="89"/>
        <v>0</v>
      </c>
      <c r="CB63" s="290">
        <f t="shared" si="89"/>
        <v>0</v>
      </c>
      <c r="CC63" s="290">
        <f t="shared" si="89"/>
        <v>0</v>
      </c>
      <c r="CD63" s="290">
        <f t="shared" si="89"/>
        <v>0</v>
      </c>
      <c r="CE63" s="290">
        <f t="shared" si="89"/>
        <v>0</v>
      </c>
      <c r="CF63" s="290">
        <f t="shared" si="89"/>
        <v>0</v>
      </c>
      <c r="CG63" s="290">
        <f t="shared" si="89"/>
        <v>0</v>
      </c>
      <c r="CH63" s="290">
        <f t="shared" si="89"/>
        <v>0</v>
      </c>
      <c r="CI63" s="290">
        <f t="shared" si="89"/>
        <v>0</v>
      </c>
      <c r="CJ63" s="290">
        <f t="shared" si="89"/>
        <v>0</v>
      </c>
      <c r="CK63" s="290">
        <f t="shared" si="89"/>
        <v>0</v>
      </c>
      <c r="CL63" s="290">
        <f t="shared" si="89"/>
        <v>0</v>
      </c>
      <c r="CM63" s="290">
        <f t="shared" si="89"/>
        <v>56000000</v>
      </c>
      <c r="CN63" s="290">
        <f t="shared" si="89"/>
        <v>0</v>
      </c>
      <c r="CO63" s="290">
        <f t="shared" si="89"/>
        <v>0</v>
      </c>
      <c r="CP63" s="290">
        <f t="shared" si="89"/>
        <v>0</v>
      </c>
      <c r="CQ63" s="290">
        <f t="shared" si="89"/>
        <v>0</v>
      </c>
      <c r="CR63" s="290">
        <f t="shared" si="89"/>
        <v>0</v>
      </c>
      <c r="CS63" s="290">
        <f t="shared" si="89"/>
        <v>0</v>
      </c>
      <c r="CT63" s="290">
        <f t="shared" si="89"/>
        <v>0</v>
      </c>
      <c r="CU63" s="290">
        <f t="shared" si="89"/>
        <v>0</v>
      </c>
      <c r="CV63" s="290">
        <f t="shared" si="89"/>
        <v>0</v>
      </c>
      <c r="CW63" s="290">
        <f t="shared" si="89"/>
        <v>0</v>
      </c>
      <c r="CX63" s="290">
        <f t="shared" si="89"/>
        <v>0</v>
      </c>
      <c r="CY63" s="290">
        <f t="shared" si="89"/>
        <v>0</v>
      </c>
      <c r="CZ63" s="290">
        <f t="shared" si="89"/>
        <v>0</v>
      </c>
      <c r="DA63" s="290">
        <f t="shared" si="89"/>
        <v>0</v>
      </c>
      <c r="DB63" s="290">
        <f t="shared" si="89"/>
        <v>0</v>
      </c>
      <c r="DC63" s="290">
        <f t="shared" si="89"/>
        <v>0</v>
      </c>
      <c r="DD63" s="290">
        <f t="shared" si="89"/>
        <v>0</v>
      </c>
      <c r="DE63" s="290">
        <f t="shared" si="89"/>
        <v>0</v>
      </c>
      <c r="DF63" s="290">
        <f t="shared" si="89"/>
        <v>0</v>
      </c>
      <c r="DG63" s="290">
        <f t="shared" si="89"/>
        <v>0</v>
      </c>
      <c r="DH63" s="290">
        <f t="shared" si="89"/>
        <v>0</v>
      </c>
      <c r="DI63" s="290">
        <f t="shared" si="89"/>
        <v>0</v>
      </c>
      <c r="DJ63" s="290">
        <f t="shared" si="89"/>
        <v>0</v>
      </c>
      <c r="DK63" s="290">
        <f t="shared" si="89"/>
        <v>0</v>
      </c>
      <c r="DL63" s="290">
        <f t="shared" si="89"/>
        <v>0</v>
      </c>
      <c r="DM63" s="290">
        <f t="shared" si="89"/>
        <v>0</v>
      </c>
      <c r="DN63" s="290">
        <f t="shared" si="89"/>
        <v>0</v>
      </c>
      <c r="DO63" s="290">
        <f t="shared" si="89"/>
        <v>8000000</v>
      </c>
      <c r="DP63" s="290">
        <f t="shared" si="89"/>
        <v>0</v>
      </c>
      <c r="DQ63" s="290">
        <f t="shared" si="89"/>
        <v>0</v>
      </c>
      <c r="DR63" s="290">
        <f t="shared" si="89"/>
        <v>0</v>
      </c>
      <c r="DS63" s="290">
        <f t="shared" si="89"/>
        <v>0</v>
      </c>
      <c r="DT63" s="290">
        <f t="shared" si="89"/>
        <v>0</v>
      </c>
      <c r="DU63" s="290">
        <f t="shared" si="89"/>
        <v>0</v>
      </c>
      <c r="DV63" s="290">
        <f t="shared" si="89"/>
        <v>0</v>
      </c>
      <c r="DW63" s="286">
        <f t="shared" si="40"/>
        <v>756000000</v>
      </c>
      <c r="DX63" s="286">
        <f t="shared" si="40"/>
        <v>370394056.5</v>
      </c>
      <c r="DY63" s="286">
        <f t="shared" si="40"/>
        <v>85262998</v>
      </c>
      <c r="DZ63" s="286">
        <f t="shared" si="40"/>
        <v>85262998</v>
      </c>
      <c r="EA63" s="291">
        <f>+SUM(DW64:DW65)-DW63</f>
        <v>0</v>
      </c>
      <c r="EB63" s="292">
        <f>+DW63-B63</f>
        <v>0</v>
      </c>
    </row>
    <row r="64" spans="1:132" ht="45.75" customHeight="1" x14ac:dyDescent="0.2">
      <c r="A64" s="293" t="s">
        <v>2041</v>
      </c>
      <c r="B64" s="294">
        <f>DW63</f>
        <v>756000000</v>
      </c>
      <c r="C64" s="295">
        <f>492000000/2</f>
        <v>246000000</v>
      </c>
      <c r="D64" s="295">
        <f>307183593.5/2</f>
        <v>153591796.75</v>
      </c>
      <c r="E64" s="295">
        <f>61925350/2</f>
        <v>30962675</v>
      </c>
      <c r="F64" s="295">
        <f>61925350/2</f>
        <v>30962675</v>
      </c>
      <c r="G64" s="295">
        <v>0</v>
      </c>
      <c r="H64" s="295">
        <v>0</v>
      </c>
      <c r="I64" s="295">
        <v>0</v>
      </c>
      <c r="J64" s="295">
        <v>0</v>
      </c>
      <c r="K64" s="295">
        <v>0</v>
      </c>
      <c r="L64" s="295">
        <v>0</v>
      </c>
      <c r="M64" s="295">
        <v>0</v>
      </c>
      <c r="N64" s="295">
        <v>0</v>
      </c>
      <c r="O64" s="295">
        <v>0</v>
      </c>
      <c r="P64" s="295">
        <v>0</v>
      </c>
      <c r="Q64" s="295">
        <v>0</v>
      </c>
      <c r="R64" s="295">
        <v>0</v>
      </c>
      <c r="S64" s="295">
        <v>0</v>
      </c>
      <c r="T64" s="295">
        <v>0</v>
      </c>
      <c r="U64" s="295">
        <v>0</v>
      </c>
      <c r="V64" s="295">
        <v>0</v>
      </c>
      <c r="W64" s="295">
        <v>0</v>
      </c>
      <c r="X64" s="295">
        <v>0</v>
      </c>
      <c r="Y64" s="295">
        <v>0</v>
      </c>
      <c r="Z64" s="295">
        <v>0</v>
      </c>
      <c r="AA64" s="295">
        <v>0</v>
      </c>
      <c r="AB64" s="295">
        <v>0</v>
      </c>
      <c r="AC64" s="295">
        <v>0</v>
      </c>
      <c r="AD64" s="295">
        <v>0</v>
      </c>
      <c r="AE64" s="295">
        <v>0</v>
      </c>
      <c r="AF64" s="295">
        <v>0</v>
      </c>
      <c r="AG64" s="295">
        <v>0</v>
      </c>
      <c r="AH64" s="295">
        <v>0</v>
      </c>
      <c r="AI64" s="295">
        <v>0</v>
      </c>
      <c r="AJ64" s="295">
        <v>0</v>
      </c>
      <c r="AK64" s="295">
        <v>0</v>
      </c>
      <c r="AL64" s="295">
        <v>0</v>
      </c>
      <c r="AM64" s="295">
        <f>200000000/2</f>
        <v>100000000</v>
      </c>
      <c r="AN64" s="295">
        <f>63210463/2</f>
        <v>31605231.5</v>
      </c>
      <c r="AO64" s="295">
        <f>23337648/2</f>
        <v>11668824</v>
      </c>
      <c r="AP64" s="295">
        <f>23337648/2</f>
        <v>11668824</v>
      </c>
      <c r="AQ64" s="295">
        <v>0</v>
      </c>
      <c r="AR64" s="295">
        <v>0</v>
      </c>
      <c r="AS64" s="295">
        <v>0</v>
      </c>
      <c r="AT64" s="295">
        <v>0</v>
      </c>
      <c r="AU64" s="295">
        <v>0</v>
      </c>
      <c r="AV64" s="295">
        <v>0</v>
      </c>
      <c r="AW64" s="295">
        <v>0</v>
      </c>
      <c r="AX64" s="295">
        <v>0</v>
      </c>
      <c r="AY64" s="295">
        <v>0</v>
      </c>
      <c r="AZ64" s="295">
        <v>0</v>
      </c>
      <c r="BA64" s="295">
        <v>0</v>
      </c>
      <c r="BB64" s="295">
        <v>0</v>
      </c>
      <c r="BC64" s="295"/>
      <c r="BD64" s="295"/>
      <c r="BE64" s="295">
        <v>0</v>
      </c>
      <c r="BF64" s="295">
        <v>0</v>
      </c>
      <c r="BG64" s="295">
        <v>0</v>
      </c>
      <c r="BH64" s="295">
        <v>0</v>
      </c>
      <c r="BI64" s="295">
        <v>0</v>
      </c>
      <c r="BJ64" s="295">
        <v>0</v>
      </c>
      <c r="BK64" s="295">
        <v>0</v>
      </c>
      <c r="BL64" s="295">
        <v>0</v>
      </c>
      <c r="BM64" s="295">
        <v>0</v>
      </c>
      <c r="BN64" s="295">
        <v>0</v>
      </c>
      <c r="BO64" s="295">
        <v>0</v>
      </c>
      <c r="BP64" s="295">
        <v>0</v>
      </c>
      <c r="BQ64" s="295">
        <v>0</v>
      </c>
      <c r="BR64" s="295">
        <v>0</v>
      </c>
      <c r="BS64" s="295">
        <v>0</v>
      </c>
      <c r="BT64" s="295">
        <v>0</v>
      </c>
      <c r="BU64" s="295">
        <v>0</v>
      </c>
      <c r="BV64" s="295">
        <v>0</v>
      </c>
      <c r="BW64" s="295">
        <v>0</v>
      </c>
      <c r="BX64" s="295">
        <v>0</v>
      </c>
      <c r="BY64" s="295">
        <v>0</v>
      </c>
      <c r="BZ64" s="295">
        <v>0</v>
      </c>
      <c r="CA64" s="295">
        <v>0</v>
      </c>
      <c r="CB64" s="295">
        <v>0</v>
      </c>
      <c r="CC64" s="295">
        <v>0</v>
      </c>
      <c r="CD64" s="295">
        <v>0</v>
      </c>
      <c r="CE64" s="295">
        <v>0</v>
      </c>
      <c r="CF64" s="295">
        <v>0</v>
      </c>
      <c r="CG64" s="295">
        <v>0</v>
      </c>
      <c r="CH64" s="295">
        <v>0</v>
      </c>
      <c r="CI64" s="295">
        <v>0</v>
      </c>
      <c r="CJ64" s="295">
        <v>0</v>
      </c>
      <c r="CK64" s="295">
        <v>0</v>
      </c>
      <c r="CL64" s="295">
        <v>0</v>
      </c>
      <c r="CM64" s="295">
        <f>56000000/2</f>
        <v>28000000</v>
      </c>
      <c r="CN64" s="295">
        <v>0</v>
      </c>
      <c r="CO64" s="306">
        <v>0</v>
      </c>
      <c r="CP64" s="295">
        <v>0</v>
      </c>
      <c r="CQ64" s="295">
        <v>0</v>
      </c>
      <c r="CR64" s="295">
        <v>0</v>
      </c>
      <c r="CS64" s="295">
        <v>0</v>
      </c>
      <c r="CT64" s="295">
        <v>0</v>
      </c>
      <c r="CU64" s="295">
        <v>0</v>
      </c>
      <c r="CV64" s="295">
        <v>0</v>
      </c>
      <c r="CW64" s="295">
        <v>0</v>
      </c>
      <c r="CX64" s="295">
        <v>0</v>
      </c>
      <c r="CY64" s="295">
        <v>0</v>
      </c>
      <c r="CZ64" s="295">
        <v>0</v>
      </c>
      <c r="DA64" s="295">
        <v>0</v>
      </c>
      <c r="DB64" s="295">
        <v>0</v>
      </c>
      <c r="DC64" s="295">
        <v>0</v>
      </c>
      <c r="DD64" s="295">
        <v>0</v>
      </c>
      <c r="DE64" s="295">
        <v>0</v>
      </c>
      <c r="DF64" s="295">
        <v>0</v>
      </c>
      <c r="DG64" s="295">
        <v>0</v>
      </c>
      <c r="DH64" s="295">
        <v>0</v>
      </c>
      <c r="DI64" s="295">
        <v>0</v>
      </c>
      <c r="DJ64" s="295">
        <v>0</v>
      </c>
      <c r="DK64" s="295">
        <v>0</v>
      </c>
      <c r="DL64" s="295">
        <v>0</v>
      </c>
      <c r="DM64" s="295">
        <v>0</v>
      </c>
      <c r="DN64" s="295">
        <v>0</v>
      </c>
      <c r="DO64" s="295">
        <f>8000000/2</f>
        <v>4000000</v>
      </c>
      <c r="DP64" s="295">
        <v>0</v>
      </c>
      <c r="DQ64" s="295">
        <v>0</v>
      </c>
      <c r="DR64" s="295">
        <v>0</v>
      </c>
      <c r="DS64" s="295">
        <v>0</v>
      </c>
      <c r="DT64" s="295">
        <v>0</v>
      </c>
      <c r="DU64" s="295">
        <v>0</v>
      </c>
      <c r="DV64" s="295">
        <v>0</v>
      </c>
      <c r="DW64" s="296">
        <f t="shared" si="40"/>
        <v>378000000</v>
      </c>
      <c r="DX64" s="296">
        <f t="shared" si="40"/>
        <v>185197028.25</v>
      </c>
      <c r="DY64" s="296">
        <f t="shared" si="40"/>
        <v>42631499</v>
      </c>
      <c r="DZ64" s="296">
        <f t="shared" si="40"/>
        <v>42631499</v>
      </c>
      <c r="EA64" s="287"/>
    </row>
    <row r="65" spans="1:132" ht="45.75" customHeight="1" x14ac:dyDescent="0.2">
      <c r="A65" s="310" t="s">
        <v>2042</v>
      </c>
      <c r="B65" s="301"/>
      <c r="C65" s="295">
        <f>492000000/2</f>
        <v>246000000</v>
      </c>
      <c r="D65" s="295">
        <f>307183593.5/2</f>
        <v>153591796.75</v>
      </c>
      <c r="E65" s="295">
        <f>61925350/2</f>
        <v>30962675</v>
      </c>
      <c r="F65" s="295">
        <f>61925350/2</f>
        <v>30962675</v>
      </c>
      <c r="G65" s="306">
        <v>0</v>
      </c>
      <c r="H65" s="306">
        <v>0</v>
      </c>
      <c r="I65" s="306">
        <v>0</v>
      </c>
      <c r="J65" s="306">
        <v>0</v>
      </c>
      <c r="K65" s="306">
        <v>0</v>
      </c>
      <c r="L65" s="306">
        <v>0</v>
      </c>
      <c r="M65" s="306">
        <v>0</v>
      </c>
      <c r="N65" s="306">
        <v>0</v>
      </c>
      <c r="O65" s="306">
        <v>0</v>
      </c>
      <c r="P65" s="306">
        <v>0</v>
      </c>
      <c r="Q65" s="306">
        <v>0</v>
      </c>
      <c r="R65" s="306">
        <v>0</v>
      </c>
      <c r="S65" s="306">
        <v>0</v>
      </c>
      <c r="T65" s="306">
        <v>0</v>
      </c>
      <c r="U65" s="306">
        <v>0</v>
      </c>
      <c r="V65" s="306">
        <v>0</v>
      </c>
      <c r="W65" s="306">
        <v>0</v>
      </c>
      <c r="X65" s="306">
        <v>0</v>
      </c>
      <c r="Y65" s="306">
        <v>0</v>
      </c>
      <c r="Z65" s="306">
        <v>0</v>
      </c>
      <c r="AA65" s="306">
        <v>0</v>
      </c>
      <c r="AB65" s="306">
        <v>0</v>
      </c>
      <c r="AC65" s="306">
        <v>0</v>
      </c>
      <c r="AD65" s="306">
        <v>0</v>
      </c>
      <c r="AE65" s="306">
        <v>0</v>
      </c>
      <c r="AF65" s="306">
        <v>0</v>
      </c>
      <c r="AG65" s="306">
        <v>0</v>
      </c>
      <c r="AH65" s="306">
        <v>0</v>
      </c>
      <c r="AI65" s="306">
        <v>0</v>
      </c>
      <c r="AJ65" s="306">
        <v>0</v>
      </c>
      <c r="AK65" s="306">
        <v>0</v>
      </c>
      <c r="AL65" s="306">
        <v>0</v>
      </c>
      <c r="AM65" s="295">
        <f>200000000/2</f>
        <v>100000000</v>
      </c>
      <c r="AN65" s="295">
        <f>63210463/2</f>
        <v>31605231.5</v>
      </c>
      <c r="AO65" s="295">
        <f>23337648/2</f>
        <v>11668824</v>
      </c>
      <c r="AP65" s="295">
        <f>23337648/2</f>
        <v>11668824</v>
      </c>
      <c r="AQ65" s="306">
        <v>0</v>
      </c>
      <c r="AR65" s="306">
        <v>0</v>
      </c>
      <c r="AS65" s="306">
        <v>0</v>
      </c>
      <c r="AT65" s="306">
        <v>0</v>
      </c>
      <c r="AU65" s="306">
        <v>0</v>
      </c>
      <c r="AV65" s="306">
        <v>0</v>
      </c>
      <c r="AW65" s="306">
        <v>0</v>
      </c>
      <c r="AX65" s="306">
        <v>0</v>
      </c>
      <c r="AY65" s="306">
        <v>0</v>
      </c>
      <c r="AZ65" s="306">
        <v>0</v>
      </c>
      <c r="BA65" s="306">
        <v>0</v>
      </c>
      <c r="BB65" s="306">
        <v>0</v>
      </c>
      <c r="BC65" s="306">
        <v>0</v>
      </c>
      <c r="BD65" s="306">
        <v>0</v>
      </c>
      <c r="BE65" s="306">
        <v>0</v>
      </c>
      <c r="BF65" s="306">
        <v>0</v>
      </c>
      <c r="BG65" s="306">
        <v>0</v>
      </c>
      <c r="BH65" s="306">
        <v>0</v>
      </c>
      <c r="BI65" s="306">
        <v>0</v>
      </c>
      <c r="BJ65" s="306">
        <v>0</v>
      </c>
      <c r="BK65" s="306">
        <v>0</v>
      </c>
      <c r="BL65" s="306">
        <v>0</v>
      </c>
      <c r="BM65" s="306">
        <v>0</v>
      </c>
      <c r="BN65" s="306">
        <v>0</v>
      </c>
      <c r="BO65" s="306">
        <v>0</v>
      </c>
      <c r="BP65" s="306">
        <v>0</v>
      </c>
      <c r="BQ65" s="306">
        <v>0</v>
      </c>
      <c r="BR65" s="306">
        <v>0</v>
      </c>
      <c r="BS65" s="306">
        <v>0</v>
      </c>
      <c r="BT65" s="306">
        <v>0</v>
      </c>
      <c r="BU65" s="306">
        <v>0</v>
      </c>
      <c r="BV65" s="306">
        <v>0</v>
      </c>
      <c r="BW65" s="306">
        <v>0</v>
      </c>
      <c r="BX65" s="306">
        <v>0</v>
      </c>
      <c r="BY65" s="306">
        <v>0</v>
      </c>
      <c r="BZ65" s="306">
        <v>0</v>
      </c>
      <c r="CA65" s="306">
        <v>0</v>
      </c>
      <c r="CB65" s="306">
        <v>0</v>
      </c>
      <c r="CC65" s="306">
        <v>0</v>
      </c>
      <c r="CD65" s="306">
        <v>0</v>
      </c>
      <c r="CE65" s="306">
        <v>0</v>
      </c>
      <c r="CF65" s="306">
        <v>0</v>
      </c>
      <c r="CG65" s="306">
        <v>0</v>
      </c>
      <c r="CH65" s="306">
        <v>0</v>
      </c>
      <c r="CI65" s="306">
        <v>0</v>
      </c>
      <c r="CJ65" s="306">
        <v>0</v>
      </c>
      <c r="CK65" s="306">
        <v>0</v>
      </c>
      <c r="CL65" s="306">
        <v>0</v>
      </c>
      <c r="CM65" s="295">
        <f>56000000/2</f>
        <v>28000000</v>
      </c>
      <c r="CN65" s="306">
        <v>0</v>
      </c>
      <c r="CO65" s="306">
        <v>0</v>
      </c>
      <c r="CP65" s="306">
        <v>0</v>
      </c>
      <c r="CQ65" s="306">
        <v>0</v>
      </c>
      <c r="CR65" s="306">
        <v>0</v>
      </c>
      <c r="CS65" s="306">
        <v>0</v>
      </c>
      <c r="CT65" s="306">
        <v>0</v>
      </c>
      <c r="CU65" s="306">
        <v>0</v>
      </c>
      <c r="CV65" s="306">
        <v>0</v>
      </c>
      <c r="CW65" s="306">
        <v>0</v>
      </c>
      <c r="CX65" s="306">
        <v>0</v>
      </c>
      <c r="CY65" s="306">
        <v>0</v>
      </c>
      <c r="CZ65" s="306">
        <v>0</v>
      </c>
      <c r="DA65" s="306">
        <v>0</v>
      </c>
      <c r="DB65" s="306">
        <v>0</v>
      </c>
      <c r="DC65" s="306">
        <v>0</v>
      </c>
      <c r="DD65" s="306">
        <v>0</v>
      </c>
      <c r="DE65" s="306">
        <v>0</v>
      </c>
      <c r="DF65" s="306">
        <v>0</v>
      </c>
      <c r="DG65" s="306">
        <v>0</v>
      </c>
      <c r="DH65" s="306">
        <v>0</v>
      </c>
      <c r="DI65" s="306">
        <v>0</v>
      </c>
      <c r="DJ65" s="306">
        <v>0</v>
      </c>
      <c r="DK65" s="306">
        <v>0</v>
      </c>
      <c r="DL65" s="306">
        <v>0</v>
      </c>
      <c r="DM65" s="306">
        <v>0</v>
      </c>
      <c r="DN65" s="306">
        <v>0</v>
      </c>
      <c r="DO65" s="295">
        <f>8000000/2</f>
        <v>4000000</v>
      </c>
      <c r="DP65" s="306">
        <v>0</v>
      </c>
      <c r="DQ65" s="306">
        <v>0</v>
      </c>
      <c r="DR65" s="306">
        <v>0</v>
      </c>
      <c r="DS65" s="306">
        <v>0</v>
      </c>
      <c r="DT65" s="306">
        <v>0</v>
      </c>
      <c r="DU65" s="306">
        <v>0</v>
      </c>
      <c r="DV65" s="306">
        <v>0</v>
      </c>
      <c r="DW65" s="296">
        <f t="shared" si="40"/>
        <v>378000000</v>
      </c>
      <c r="DX65" s="296">
        <f t="shared" si="40"/>
        <v>185197028.25</v>
      </c>
      <c r="DY65" s="296">
        <f t="shared" si="40"/>
        <v>42631499</v>
      </c>
      <c r="DZ65" s="296">
        <f t="shared" si="40"/>
        <v>42631499</v>
      </c>
      <c r="EA65" s="291">
        <f>+SUM(DW64:DW65)-B64</f>
        <v>0</v>
      </c>
    </row>
    <row r="66" spans="1:132" s="283" customFormat="1" ht="45.75" customHeight="1" x14ac:dyDescent="0.2">
      <c r="A66" s="280" t="s">
        <v>2043</v>
      </c>
      <c r="B66" s="281">
        <f>+B67</f>
        <v>12300814681.440001</v>
      </c>
      <c r="C66" s="281">
        <f>+C67</f>
        <v>7508000000</v>
      </c>
      <c r="D66" s="281">
        <f>+D67</f>
        <v>6584490015.0900002</v>
      </c>
      <c r="E66" s="281">
        <f t="shared" ref="E66:DV66" si="90">+E67</f>
        <v>1374656060.71</v>
      </c>
      <c r="F66" s="281">
        <f t="shared" si="90"/>
        <v>1176256920.48</v>
      </c>
      <c r="G66" s="281">
        <f t="shared" si="90"/>
        <v>848860546.47000003</v>
      </c>
      <c r="H66" s="281">
        <f t="shared" si="90"/>
        <v>591113438.97000003</v>
      </c>
      <c r="I66" s="281">
        <f t="shared" si="90"/>
        <v>222073278.97</v>
      </c>
      <c r="J66" s="281">
        <f t="shared" si="90"/>
        <v>205831158.97</v>
      </c>
      <c r="K66" s="281">
        <f t="shared" si="90"/>
        <v>22126437.359999999</v>
      </c>
      <c r="L66" s="281">
        <f t="shared" si="90"/>
        <v>6507062.6399999987</v>
      </c>
      <c r="M66" s="281">
        <f t="shared" si="90"/>
        <v>2799720</v>
      </c>
      <c r="N66" s="281">
        <f t="shared" si="90"/>
        <v>2799720</v>
      </c>
      <c r="O66" s="281">
        <f t="shared" si="90"/>
        <v>22163015</v>
      </c>
      <c r="P66" s="281">
        <f t="shared" si="90"/>
        <v>22126437.359999999</v>
      </c>
      <c r="Q66" s="281">
        <f t="shared" si="90"/>
        <v>0</v>
      </c>
      <c r="R66" s="281">
        <f t="shared" si="90"/>
        <v>0</v>
      </c>
      <c r="S66" s="281">
        <f t="shared" si="90"/>
        <v>88787681.050000012</v>
      </c>
      <c r="T66" s="281">
        <f t="shared" si="90"/>
        <v>38482560</v>
      </c>
      <c r="U66" s="281">
        <f t="shared" si="90"/>
        <v>8498142</v>
      </c>
      <c r="V66" s="281">
        <f t="shared" si="90"/>
        <v>8498142</v>
      </c>
      <c r="W66" s="281">
        <f t="shared" si="90"/>
        <v>324561729.57999992</v>
      </c>
      <c r="X66" s="281">
        <f t="shared" si="90"/>
        <v>83550027.300000012</v>
      </c>
      <c r="Y66" s="281">
        <f t="shared" si="90"/>
        <v>16454291.999999996</v>
      </c>
      <c r="Z66" s="281">
        <f t="shared" si="90"/>
        <v>11110452.000000002</v>
      </c>
      <c r="AA66" s="281">
        <f t="shared" si="90"/>
        <v>112541076.49000001</v>
      </c>
      <c r="AB66" s="281">
        <f t="shared" si="90"/>
        <v>46950480</v>
      </c>
      <c r="AC66" s="281">
        <f t="shared" si="90"/>
        <v>10547820</v>
      </c>
      <c r="AD66" s="281">
        <f t="shared" si="90"/>
        <v>5700096</v>
      </c>
      <c r="AE66" s="281">
        <f t="shared" si="90"/>
        <v>175002210.56</v>
      </c>
      <c r="AF66" s="281">
        <f t="shared" si="90"/>
        <v>1848000</v>
      </c>
      <c r="AG66" s="281">
        <f t="shared" si="90"/>
        <v>1848000</v>
      </c>
      <c r="AH66" s="281">
        <f t="shared" si="90"/>
        <v>1848000</v>
      </c>
      <c r="AI66" s="281">
        <f t="shared" si="90"/>
        <v>39957303.490000002</v>
      </c>
      <c r="AJ66" s="281">
        <f t="shared" si="90"/>
        <v>0</v>
      </c>
      <c r="AK66" s="281">
        <f t="shared" si="90"/>
        <v>0</v>
      </c>
      <c r="AL66" s="281">
        <f t="shared" si="90"/>
        <v>0</v>
      </c>
      <c r="AM66" s="281">
        <f t="shared" si="90"/>
        <v>0</v>
      </c>
      <c r="AN66" s="281">
        <f t="shared" si="90"/>
        <v>0</v>
      </c>
      <c r="AO66" s="281">
        <f t="shared" si="90"/>
        <v>0</v>
      </c>
      <c r="AP66" s="281">
        <f t="shared" si="90"/>
        <v>0</v>
      </c>
      <c r="AQ66" s="281">
        <f t="shared" si="90"/>
        <v>0</v>
      </c>
      <c r="AR66" s="281">
        <f t="shared" si="90"/>
        <v>0</v>
      </c>
      <c r="AS66" s="281">
        <f t="shared" si="90"/>
        <v>0</v>
      </c>
      <c r="AT66" s="281">
        <f t="shared" si="90"/>
        <v>0</v>
      </c>
      <c r="AU66" s="281">
        <f t="shared" si="90"/>
        <v>560000000</v>
      </c>
      <c r="AV66" s="281">
        <f t="shared" si="90"/>
        <v>560000000</v>
      </c>
      <c r="AW66" s="281">
        <f t="shared" si="90"/>
        <v>0</v>
      </c>
      <c r="AX66" s="281">
        <f t="shared" si="90"/>
        <v>0</v>
      </c>
      <c r="AY66" s="281">
        <f t="shared" si="90"/>
        <v>300000000</v>
      </c>
      <c r="AZ66" s="281">
        <f t="shared" si="90"/>
        <v>243854989.96000001</v>
      </c>
      <c r="BA66" s="281">
        <f t="shared" si="90"/>
        <v>119627615.90000001</v>
      </c>
      <c r="BB66" s="281">
        <f t="shared" si="90"/>
        <v>113520215.90000001</v>
      </c>
      <c r="BC66" s="281">
        <f t="shared" si="90"/>
        <v>1243814681.4400001</v>
      </c>
      <c r="BD66" s="281">
        <f t="shared" si="90"/>
        <v>0</v>
      </c>
      <c r="BE66" s="281">
        <f t="shared" si="90"/>
        <v>0</v>
      </c>
      <c r="BF66" s="281">
        <f t="shared" si="90"/>
        <v>0</v>
      </c>
      <c r="BG66" s="281">
        <f t="shared" si="90"/>
        <v>100000000</v>
      </c>
      <c r="BH66" s="281">
        <f t="shared" si="90"/>
        <v>49954671</v>
      </c>
      <c r="BI66" s="281">
        <f t="shared" si="90"/>
        <v>49952271</v>
      </c>
      <c r="BJ66" s="281">
        <f t="shared" si="90"/>
        <v>49952271</v>
      </c>
      <c r="BK66" s="281">
        <f t="shared" si="90"/>
        <v>0</v>
      </c>
      <c r="BL66" s="281">
        <f t="shared" si="90"/>
        <v>0</v>
      </c>
      <c r="BM66" s="281">
        <f t="shared" si="90"/>
        <v>0</v>
      </c>
      <c r="BN66" s="281">
        <f t="shared" si="90"/>
        <v>0</v>
      </c>
      <c r="BO66" s="281">
        <f t="shared" si="90"/>
        <v>12000000</v>
      </c>
      <c r="BP66" s="281">
        <f t="shared" si="90"/>
        <v>4000000</v>
      </c>
      <c r="BQ66" s="281">
        <f t="shared" si="90"/>
        <v>4000000</v>
      </c>
      <c r="BR66" s="281">
        <f t="shared" si="90"/>
        <v>4000000</v>
      </c>
      <c r="BS66" s="281">
        <f t="shared" si="90"/>
        <v>23000000</v>
      </c>
      <c r="BT66" s="281">
        <f t="shared" si="90"/>
        <v>5000000</v>
      </c>
      <c r="BU66" s="281">
        <f t="shared" si="90"/>
        <v>5000000</v>
      </c>
      <c r="BV66" s="281">
        <f t="shared" si="90"/>
        <v>5000000</v>
      </c>
      <c r="BW66" s="281">
        <f t="shared" si="90"/>
        <v>0</v>
      </c>
      <c r="BX66" s="281">
        <f t="shared" si="90"/>
        <v>0</v>
      </c>
      <c r="BY66" s="281">
        <f t="shared" si="90"/>
        <v>0</v>
      </c>
      <c r="BZ66" s="281">
        <f t="shared" si="90"/>
        <v>0</v>
      </c>
      <c r="CA66" s="281">
        <f t="shared" si="90"/>
        <v>0</v>
      </c>
      <c r="CB66" s="281">
        <f t="shared" si="90"/>
        <v>0</v>
      </c>
      <c r="CC66" s="281">
        <f t="shared" si="90"/>
        <v>0</v>
      </c>
      <c r="CD66" s="281">
        <f t="shared" si="90"/>
        <v>0</v>
      </c>
      <c r="CE66" s="281">
        <f t="shared" si="90"/>
        <v>0</v>
      </c>
      <c r="CF66" s="281">
        <f t="shared" si="90"/>
        <v>0</v>
      </c>
      <c r="CG66" s="281">
        <f t="shared" si="90"/>
        <v>0</v>
      </c>
      <c r="CH66" s="281">
        <f t="shared" si="90"/>
        <v>0</v>
      </c>
      <c r="CI66" s="281">
        <f t="shared" si="90"/>
        <v>300000000</v>
      </c>
      <c r="CJ66" s="281">
        <f t="shared" si="90"/>
        <v>260884640</v>
      </c>
      <c r="CK66" s="281">
        <f t="shared" si="90"/>
        <v>38710656</v>
      </c>
      <c r="CL66" s="281">
        <f t="shared" si="90"/>
        <v>28403136</v>
      </c>
      <c r="CM66" s="281">
        <f t="shared" si="90"/>
        <v>0</v>
      </c>
      <c r="CN66" s="281">
        <f t="shared" si="90"/>
        <v>0</v>
      </c>
      <c r="CO66" s="281">
        <f t="shared" si="90"/>
        <v>0</v>
      </c>
      <c r="CP66" s="281">
        <f t="shared" si="90"/>
        <v>0</v>
      </c>
      <c r="CQ66" s="281">
        <f t="shared" si="90"/>
        <v>800000</v>
      </c>
      <c r="CR66" s="281">
        <f t="shared" si="90"/>
        <v>0</v>
      </c>
      <c r="CS66" s="281">
        <f t="shared" si="90"/>
        <v>0</v>
      </c>
      <c r="CT66" s="281">
        <f t="shared" si="90"/>
        <v>0</v>
      </c>
      <c r="CU66" s="281">
        <f t="shared" si="90"/>
        <v>800000</v>
      </c>
      <c r="CV66" s="281">
        <f t="shared" si="90"/>
        <v>0</v>
      </c>
      <c r="CW66" s="281">
        <f t="shared" si="90"/>
        <v>0</v>
      </c>
      <c r="CX66" s="281">
        <f t="shared" si="90"/>
        <v>0</v>
      </c>
      <c r="CY66" s="281">
        <f t="shared" si="90"/>
        <v>2500000</v>
      </c>
      <c r="CZ66" s="281">
        <f t="shared" si="90"/>
        <v>0</v>
      </c>
      <c r="DA66" s="281">
        <f t="shared" si="90"/>
        <v>0</v>
      </c>
      <c r="DB66" s="281">
        <f t="shared" si="90"/>
        <v>0</v>
      </c>
      <c r="DC66" s="281">
        <f t="shared" si="90"/>
        <v>2500000</v>
      </c>
      <c r="DD66" s="281">
        <f t="shared" si="90"/>
        <v>2100000</v>
      </c>
      <c r="DE66" s="281">
        <f t="shared" si="90"/>
        <v>2100000</v>
      </c>
      <c r="DF66" s="281">
        <f t="shared" si="90"/>
        <v>2100000</v>
      </c>
      <c r="DG66" s="281">
        <f t="shared" si="90"/>
        <v>46400000</v>
      </c>
      <c r="DH66" s="281">
        <f t="shared" si="90"/>
        <v>0</v>
      </c>
      <c r="DI66" s="281">
        <f t="shared" si="90"/>
        <v>0</v>
      </c>
      <c r="DJ66" s="281">
        <f t="shared" si="90"/>
        <v>0</v>
      </c>
      <c r="DK66" s="281">
        <f t="shared" si="90"/>
        <v>7000000</v>
      </c>
      <c r="DL66" s="281">
        <f t="shared" si="90"/>
        <v>0</v>
      </c>
      <c r="DM66" s="281">
        <f t="shared" si="90"/>
        <v>0</v>
      </c>
      <c r="DN66" s="281">
        <f t="shared" si="90"/>
        <v>0</v>
      </c>
      <c r="DO66" s="281">
        <f t="shared" si="90"/>
        <v>0</v>
      </c>
      <c r="DP66" s="281">
        <f t="shared" si="90"/>
        <v>0</v>
      </c>
      <c r="DQ66" s="281">
        <f t="shared" si="90"/>
        <v>0</v>
      </c>
      <c r="DR66" s="281">
        <f t="shared" si="90"/>
        <v>0</v>
      </c>
      <c r="DS66" s="281">
        <f t="shared" si="90"/>
        <v>560000000</v>
      </c>
      <c r="DT66" s="281">
        <f t="shared" si="90"/>
        <v>380291841</v>
      </c>
      <c r="DU66" s="281">
        <f t="shared" si="90"/>
        <v>165632544.13999999</v>
      </c>
      <c r="DV66" s="281">
        <f t="shared" si="90"/>
        <v>105419790</v>
      </c>
      <c r="DW66" s="281">
        <f t="shared" si="40"/>
        <v>12300814681.439999</v>
      </c>
      <c r="DX66" s="281">
        <f t="shared" si="40"/>
        <v>8881154163.3199997</v>
      </c>
      <c r="DY66" s="281">
        <f t="shared" si="40"/>
        <v>2021900400.7200003</v>
      </c>
      <c r="DZ66" s="281">
        <f t="shared" si="40"/>
        <v>1720439902.3500001</v>
      </c>
      <c r="EA66" s="282"/>
    </row>
    <row r="67" spans="1:132" ht="45.75" customHeight="1" x14ac:dyDescent="0.2">
      <c r="A67" s="284" t="s">
        <v>2044</v>
      </c>
      <c r="B67" s="285">
        <f>+B68+B71+B75+B83+B94+B99</f>
        <v>12300814681.440001</v>
      </c>
      <c r="C67" s="285">
        <f>+C68+C71+C75+C83+C94+C99</f>
        <v>7508000000</v>
      </c>
      <c r="D67" s="285">
        <f>+D68+D71+D75+D83+D94+D99</f>
        <v>6584490015.0900002</v>
      </c>
      <c r="E67" s="285">
        <f t="shared" ref="E67:DV67" si="91">+E68+E71+E75+E83+E94+E99</f>
        <v>1374656060.71</v>
      </c>
      <c r="F67" s="285">
        <f t="shared" si="91"/>
        <v>1176256920.48</v>
      </c>
      <c r="G67" s="285">
        <f>+G68+G71+G75+G83+G94+G99</f>
        <v>848860546.47000003</v>
      </c>
      <c r="H67" s="285">
        <f t="shared" si="91"/>
        <v>591113438.97000003</v>
      </c>
      <c r="I67" s="285">
        <f t="shared" si="91"/>
        <v>222073278.97</v>
      </c>
      <c r="J67" s="285">
        <f t="shared" si="91"/>
        <v>205831158.97</v>
      </c>
      <c r="K67" s="285">
        <f t="shared" si="91"/>
        <v>22126437.359999999</v>
      </c>
      <c r="L67" s="285">
        <f t="shared" si="91"/>
        <v>6507062.6399999987</v>
      </c>
      <c r="M67" s="285">
        <f t="shared" si="91"/>
        <v>2799720</v>
      </c>
      <c r="N67" s="285">
        <f t="shared" si="91"/>
        <v>2799720</v>
      </c>
      <c r="O67" s="285">
        <f t="shared" si="91"/>
        <v>22163015</v>
      </c>
      <c r="P67" s="285">
        <f t="shared" si="91"/>
        <v>22126437.359999999</v>
      </c>
      <c r="Q67" s="285">
        <f t="shared" si="91"/>
        <v>0</v>
      </c>
      <c r="R67" s="285">
        <f t="shared" si="91"/>
        <v>0</v>
      </c>
      <c r="S67" s="285">
        <f t="shared" si="91"/>
        <v>88787681.050000012</v>
      </c>
      <c r="T67" s="285">
        <f t="shared" si="91"/>
        <v>38482560</v>
      </c>
      <c r="U67" s="285">
        <f t="shared" si="91"/>
        <v>8498142</v>
      </c>
      <c r="V67" s="285">
        <f t="shared" si="91"/>
        <v>8498142</v>
      </c>
      <c r="W67" s="285">
        <f t="shared" si="91"/>
        <v>324561729.57999992</v>
      </c>
      <c r="X67" s="285">
        <f t="shared" si="91"/>
        <v>83550027.300000012</v>
      </c>
      <c r="Y67" s="285">
        <f t="shared" si="91"/>
        <v>16454291.999999996</v>
      </c>
      <c r="Z67" s="285">
        <f t="shared" si="91"/>
        <v>11110452.000000002</v>
      </c>
      <c r="AA67" s="285">
        <f t="shared" si="91"/>
        <v>112541076.49000001</v>
      </c>
      <c r="AB67" s="285">
        <f t="shared" si="91"/>
        <v>46950480</v>
      </c>
      <c r="AC67" s="285">
        <f t="shared" si="91"/>
        <v>10547820</v>
      </c>
      <c r="AD67" s="285">
        <f t="shared" si="91"/>
        <v>5700096</v>
      </c>
      <c r="AE67" s="285">
        <f t="shared" si="91"/>
        <v>175002210.56</v>
      </c>
      <c r="AF67" s="285">
        <f t="shared" si="91"/>
        <v>1848000</v>
      </c>
      <c r="AG67" s="285">
        <f t="shared" si="91"/>
        <v>1848000</v>
      </c>
      <c r="AH67" s="285">
        <f t="shared" si="91"/>
        <v>1848000</v>
      </c>
      <c r="AI67" s="285">
        <f t="shared" si="91"/>
        <v>39957303.490000002</v>
      </c>
      <c r="AJ67" s="285">
        <f t="shared" si="91"/>
        <v>0</v>
      </c>
      <c r="AK67" s="285">
        <f t="shared" si="91"/>
        <v>0</v>
      </c>
      <c r="AL67" s="285">
        <f t="shared" si="91"/>
        <v>0</v>
      </c>
      <c r="AM67" s="285">
        <f t="shared" si="91"/>
        <v>0</v>
      </c>
      <c r="AN67" s="285">
        <f t="shared" si="91"/>
        <v>0</v>
      </c>
      <c r="AO67" s="285">
        <f t="shared" si="91"/>
        <v>0</v>
      </c>
      <c r="AP67" s="285">
        <f t="shared" si="91"/>
        <v>0</v>
      </c>
      <c r="AQ67" s="285">
        <f t="shared" si="91"/>
        <v>0</v>
      </c>
      <c r="AR67" s="285">
        <f t="shared" si="91"/>
        <v>0</v>
      </c>
      <c r="AS67" s="285">
        <f t="shared" si="91"/>
        <v>0</v>
      </c>
      <c r="AT67" s="285">
        <f t="shared" si="91"/>
        <v>0</v>
      </c>
      <c r="AU67" s="285">
        <f t="shared" si="91"/>
        <v>560000000</v>
      </c>
      <c r="AV67" s="285">
        <f t="shared" si="91"/>
        <v>560000000</v>
      </c>
      <c r="AW67" s="285">
        <f t="shared" si="91"/>
        <v>0</v>
      </c>
      <c r="AX67" s="285">
        <f t="shared" si="91"/>
        <v>0</v>
      </c>
      <c r="AY67" s="285">
        <f t="shared" si="91"/>
        <v>300000000</v>
      </c>
      <c r="AZ67" s="285">
        <f t="shared" si="91"/>
        <v>243854989.96000001</v>
      </c>
      <c r="BA67" s="285">
        <f t="shared" si="91"/>
        <v>119627615.90000001</v>
      </c>
      <c r="BB67" s="285">
        <f t="shared" si="91"/>
        <v>113520215.90000001</v>
      </c>
      <c r="BC67" s="285">
        <f t="shared" si="91"/>
        <v>1243814681.4400001</v>
      </c>
      <c r="BD67" s="285">
        <f t="shared" si="91"/>
        <v>0</v>
      </c>
      <c r="BE67" s="285">
        <f t="shared" si="91"/>
        <v>0</v>
      </c>
      <c r="BF67" s="285">
        <f t="shared" si="91"/>
        <v>0</v>
      </c>
      <c r="BG67" s="285">
        <f t="shared" si="91"/>
        <v>100000000</v>
      </c>
      <c r="BH67" s="285">
        <f t="shared" si="91"/>
        <v>49954671</v>
      </c>
      <c r="BI67" s="285">
        <f t="shared" si="91"/>
        <v>49952271</v>
      </c>
      <c r="BJ67" s="285">
        <f t="shared" si="91"/>
        <v>49952271</v>
      </c>
      <c r="BK67" s="285">
        <f t="shared" si="91"/>
        <v>0</v>
      </c>
      <c r="BL67" s="285">
        <f t="shared" si="91"/>
        <v>0</v>
      </c>
      <c r="BM67" s="285">
        <f t="shared" si="91"/>
        <v>0</v>
      </c>
      <c r="BN67" s="285">
        <f t="shared" si="91"/>
        <v>0</v>
      </c>
      <c r="BO67" s="285">
        <f t="shared" si="91"/>
        <v>12000000</v>
      </c>
      <c r="BP67" s="285">
        <f t="shared" si="91"/>
        <v>4000000</v>
      </c>
      <c r="BQ67" s="285">
        <f t="shared" si="91"/>
        <v>4000000</v>
      </c>
      <c r="BR67" s="285">
        <f t="shared" si="91"/>
        <v>4000000</v>
      </c>
      <c r="BS67" s="285">
        <f t="shared" si="91"/>
        <v>23000000</v>
      </c>
      <c r="BT67" s="285">
        <f t="shared" si="91"/>
        <v>5000000</v>
      </c>
      <c r="BU67" s="285">
        <f t="shared" si="91"/>
        <v>5000000</v>
      </c>
      <c r="BV67" s="285">
        <f t="shared" si="91"/>
        <v>5000000</v>
      </c>
      <c r="BW67" s="285">
        <f t="shared" si="91"/>
        <v>0</v>
      </c>
      <c r="BX67" s="285">
        <f t="shared" si="91"/>
        <v>0</v>
      </c>
      <c r="BY67" s="285">
        <f t="shared" si="91"/>
        <v>0</v>
      </c>
      <c r="BZ67" s="285">
        <f t="shared" si="91"/>
        <v>0</v>
      </c>
      <c r="CA67" s="285">
        <f t="shared" si="91"/>
        <v>0</v>
      </c>
      <c r="CB67" s="285">
        <f t="shared" si="91"/>
        <v>0</v>
      </c>
      <c r="CC67" s="285">
        <f t="shared" si="91"/>
        <v>0</v>
      </c>
      <c r="CD67" s="285">
        <f t="shared" si="91"/>
        <v>0</v>
      </c>
      <c r="CE67" s="285">
        <f t="shared" si="91"/>
        <v>0</v>
      </c>
      <c r="CF67" s="285">
        <f t="shared" si="91"/>
        <v>0</v>
      </c>
      <c r="CG67" s="285">
        <f t="shared" si="91"/>
        <v>0</v>
      </c>
      <c r="CH67" s="285">
        <f t="shared" si="91"/>
        <v>0</v>
      </c>
      <c r="CI67" s="285">
        <f t="shared" si="91"/>
        <v>300000000</v>
      </c>
      <c r="CJ67" s="285">
        <f t="shared" si="91"/>
        <v>260884640</v>
      </c>
      <c r="CK67" s="285">
        <f t="shared" si="91"/>
        <v>38710656</v>
      </c>
      <c r="CL67" s="285">
        <f t="shared" si="91"/>
        <v>28403136</v>
      </c>
      <c r="CM67" s="285">
        <f t="shared" si="91"/>
        <v>0</v>
      </c>
      <c r="CN67" s="285">
        <f t="shared" si="91"/>
        <v>0</v>
      </c>
      <c r="CO67" s="285">
        <f t="shared" si="91"/>
        <v>0</v>
      </c>
      <c r="CP67" s="285">
        <f t="shared" si="91"/>
        <v>0</v>
      </c>
      <c r="CQ67" s="285">
        <f t="shared" si="91"/>
        <v>800000</v>
      </c>
      <c r="CR67" s="285">
        <f t="shared" si="91"/>
        <v>0</v>
      </c>
      <c r="CS67" s="285">
        <f t="shared" si="91"/>
        <v>0</v>
      </c>
      <c r="CT67" s="285">
        <f t="shared" si="91"/>
        <v>0</v>
      </c>
      <c r="CU67" s="285">
        <f t="shared" si="91"/>
        <v>800000</v>
      </c>
      <c r="CV67" s="285">
        <f t="shared" si="91"/>
        <v>0</v>
      </c>
      <c r="CW67" s="285">
        <f t="shared" si="91"/>
        <v>0</v>
      </c>
      <c r="CX67" s="285">
        <f t="shared" si="91"/>
        <v>0</v>
      </c>
      <c r="CY67" s="285">
        <f t="shared" si="91"/>
        <v>2500000</v>
      </c>
      <c r="CZ67" s="285">
        <f t="shared" si="91"/>
        <v>0</v>
      </c>
      <c r="DA67" s="285">
        <f t="shared" si="91"/>
        <v>0</v>
      </c>
      <c r="DB67" s="285">
        <f t="shared" si="91"/>
        <v>0</v>
      </c>
      <c r="DC67" s="285">
        <f t="shared" si="91"/>
        <v>2500000</v>
      </c>
      <c r="DD67" s="285">
        <f t="shared" si="91"/>
        <v>2100000</v>
      </c>
      <c r="DE67" s="285">
        <f t="shared" si="91"/>
        <v>2100000</v>
      </c>
      <c r="DF67" s="285">
        <f t="shared" si="91"/>
        <v>2100000</v>
      </c>
      <c r="DG67" s="285">
        <f t="shared" si="91"/>
        <v>46400000</v>
      </c>
      <c r="DH67" s="285">
        <f t="shared" si="91"/>
        <v>0</v>
      </c>
      <c r="DI67" s="285">
        <f t="shared" si="91"/>
        <v>0</v>
      </c>
      <c r="DJ67" s="285">
        <f t="shared" si="91"/>
        <v>0</v>
      </c>
      <c r="DK67" s="285">
        <f t="shared" si="91"/>
        <v>7000000</v>
      </c>
      <c r="DL67" s="285">
        <f t="shared" si="91"/>
        <v>0</v>
      </c>
      <c r="DM67" s="285">
        <f t="shared" si="91"/>
        <v>0</v>
      </c>
      <c r="DN67" s="285">
        <f t="shared" si="91"/>
        <v>0</v>
      </c>
      <c r="DO67" s="285">
        <f t="shared" si="91"/>
        <v>0</v>
      </c>
      <c r="DP67" s="285">
        <f t="shared" si="91"/>
        <v>0</v>
      </c>
      <c r="DQ67" s="285">
        <f t="shared" si="91"/>
        <v>0</v>
      </c>
      <c r="DR67" s="285">
        <f t="shared" si="91"/>
        <v>0</v>
      </c>
      <c r="DS67" s="285">
        <f t="shared" si="91"/>
        <v>560000000</v>
      </c>
      <c r="DT67" s="285">
        <f t="shared" si="91"/>
        <v>380291841</v>
      </c>
      <c r="DU67" s="285">
        <f t="shared" si="91"/>
        <v>165632544.13999999</v>
      </c>
      <c r="DV67" s="285">
        <f t="shared" si="91"/>
        <v>105419790</v>
      </c>
      <c r="DW67" s="307">
        <f t="shared" ref="DW67:DZ100" si="92">+C67+G67+K67+O67+S67+W67+AA67+AE67+AI67+AM67+AQ67+AU67+AY67+BC67+BG67+BK67+BO67+BS67+BW67+CA67+CE67+CI67+CM67+CQ67+CU67+CY67+DC67+DG67+DK67+DO67+DS67</f>
        <v>12300814681.439999</v>
      </c>
      <c r="DX67" s="307">
        <f t="shared" si="92"/>
        <v>8881154163.3199997</v>
      </c>
      <c r="DY67" s="307">
        <f t="shared" si="92"/>
        <v>2021900400.7200003</v>
      </c>
      <c r="DZ67" s="307">
        <f t="shared" si="92"/>
        <v>1720439902.3500001</v>
      </c>
      <c r="EA67" s="287"/>
    </row>
    <row r="68" spans="1:132" ht="45.75" customHeight="1" x14ac:dyDescent="0.2">
      <c r="A68" s="303" t="s">
        <v>2045</v>
      </c>
      <c r="B68" s="290">
        <f>SUM(B69:B70)</f>
        <v>585000000</v>
      </c>
      <c r="C68" s="290">
        <f t="shared" ref="C68:DV68" si="93">SUM(C69:C70)</f>
        <v>350000000</v>
      </c>
      <c r="D68" s="290">
        <f t="shared" si="93"/>
        <v>212943298</v>
      </c>
      <c r="E68" s="290">
        <f t="shared" si="93"/>
        <v>159829725</v>
      </c>
      <c r="F68" s="290">
        <f t="shared" si="93"/>
        <v>159829725</v>
      </c>
      <c r="G68" s="290">
        <f t="shared" si="93"/>
        <v>175000000</v>
      </c>
      <c r="H68" s="290">
        <f t="shared" si="93"/>
        <v>0</v>
      </c>
      <c r="I68" s="290">
        <f t="shared" si="93"/>
        <v>0</v>
      </c>
      <c r="J68" s="290">
        <f t="shared" si="93"/>
        <v>0</v>
      </c>
      <c r="K68" s="290">
        <f t="shared" si="93"/>
        <v>0</v>
      </c>
      <c r="L68" s="290">
        <f t="shared" si="93"/>
        <v>0</v>
      </c>
      <c r="M68" s="290">
        <f t="shared" si="93"/>
        <v>0</v>
      </c>
      <c r="N68" s="290">
        <f t="shared" si="93"/>
        <v>0</v>
      </c>
      <c r="O68" s="290">
        <f t="shared" si="93"/>
        <v>0</v>
      </c>
      <c r="P68" s="290">
        <f t="shared" si="93"/>
        <v>0</v>
      </c>
      <c r="Q68" s="290">
        <f t="shared" si="93"/>
        <v>0</v>
      </c>
      <c r="R68" s="290">
        <f t="shared" si="93"/>
        <v>0</v>
      </c>
      <c r="S68" s="290">
        <f t="shared" si="93"/>
        <v>0</v>
      </c>
      <c r="T68" s="290">
        <f t="shared" si="93"/>
        <v>0</v>
      </c>
      <c r="U68" s="290">
        <f t="shared" si="93"/>
        <v>0</v>
      </c>
      <c r="V68" s="290">
        <f t="shared" si="93"/>
        <v>0</v>
      </c>
      <c r="W68" s="290">
        <f t="shared" si="93"/>
        <v>0</v>
      </c>
      <c r="X68" s="290">
        <f t="shared" si="93"/>
        <v>0</v>
      </c>
      <c r="Y68" s="290">
        <f t="shared" si="93"/>
        <v>0</v>
      </c>
      <c r="Z68" s="290">
        <f t="shared" si="93"/>
        <v>0</v>
      </c>
      <c r="AA68" s="290">
        <f t="shared" si="93"/>
        <v>0</v>
      </c>
      <c r="AB68" s="290">
        <f t="shared" si="93"/>
        <v>0</v>
      </c>
      <c r="AC68" s="290">
        <f t="shared" si="93"/>
        <v>0</v>
      </c>
      <c r="AD68" s="290">
        <f t="shared" si="93"/>
        <v>0</v>
      </c>
      <c r="AE68" s="290">
        <f t="shared" si="93"/>
        <v>0</v>
      </c>
      <c r="AF68" s="290">
        <f t="shared" si="93"/>
        <v>0</v>
      </c>
      <c r="AG68" s="290">
        <f t="shared" si="93"/>
        <v>0</v>
      </c>
      <c r="AH68" s="290">
        <f t="shared" si="93"/>
        <v>0</v>
      </c>
      <c r="AI68" s="290">
        <f t="shared" si="93"/>
        <v>0</v>
      </c>
      <c r="AJ68" s="290">
        <f t="shared" si="93"/>
        <v>0</v>
      </c>
      <c r="AK68" s="290">
        <f t="shared" si="93"/>
        <v>0</v>
      </c>
      <c r="AL68" s="290">
        <f t="shared" si="93"/>
        <v>0</v>
      </c>
      <c r="AM68" s="290">
        <f t="shared" si="93"/>
        <v>0</v>
      </c>
      <c r="AN68" s="290">
        <f t="shared" si="93"/>
        <v>0</v>
      </c>
      <c r="AO68" s="290">
        <f t="shared" si="93"/>
        <v>0</v>
      </c>
      <c r="AP68" s="290">
        <f t="shared" si="93"/>
        <v>0</v>
      </c>
      <c r="AQ68" s="290">
        <f t="shared" si="93"/>
        <v>0</v>
      </c>
      <c r="AR68" s="290">
        <f t="shared" si="93"/>
        <v>0</v>
      </c>
      <c r="AS68" s="290">
        <f t="shared" si="93"/>
        <v>0</v>
      </c>
      <c r="AT68" s="290">
        <f t="shared" si="93"/>
        <v>0</v>
      </c>
      <c r="AU68" s="290">
        <f t="shared" si="93"/>
        <v>0</v>
      </c>
      <c r="AV68" s="290">
        <f t="shared" si="93"/>
        <v>0</v>
      </c>
      <c r="AW68" s="290">
        <f t="shared" si="93"/>
        <v>0</v>
      </c>
      <c r="AX68" s="290">
        <f t="shared" si="93"/>
        <v>0</v>
      </c>
      <c r="AY68" s="290">
        <f t="shared" si="93"/>
        <v>0</v>
      </c>
      <c r="AZ68" s="290">
        <f t="shared" si="93"/>
        <v>0</v>
      </c>
      <c r="BA68" s="290">
        <f t="shared" si="93"/>
        <v>0</v>
      </c>
      <c r="BB68" s="290">
        <f t="shared" si="93"/>
        <v>0</v>
      </c>
      <c r="BC68" s="290">
        <f t="shared" si="93"/>
        <v>0</v>
      </c>
      <c r="BD68" s="290">
        <f t="shared" si="93"/>
        <v>0</v>
      </c>
      <c r="BE68" s="290">
        <f t="shared" si="93"/>
        <v>0</v>
      </c>
      <c r="BF68" s="290">
        <f t="shared" si="93"/>
        <v>0</v>
      </c>
      <c r="BG68" s="290">
        <f t="shared" si="93"/>
        <v>0</v>
      </c>
      <c r="BH68" s="290">
        <f t="shared" si="93"/>
        <v>0</v>
      </c>
      <c r="BI68" s="290">
        <f t="shared" si="93"/>
        <v>0</v>
      </c>
      <c r="BJ68" s="290">
        <f t="shared" si="93"/>
        <v>0</v>
      </c>
      <c r="BK68" s="290">
        <f t="shared" si="93"/>
        <v>0</v>
      </c>
      <c r="BL68" s="290">
        <f t="shared" si="93"/>
        <v>0</v>
      </c>
      <c r="BM68" s="290">
        <f t="shared" si="93"/>
        <v>0</v>
      </c>
      <c r="BN68" s="290">
        <f t="shared" si="93"/>
        <v>0</v>
      </c>
      <c r="BO68" s="290">
        <f t="shared" si="93"/>
        <v>0</v>
      </c>
      <c r="BP68" s="290">
        <f t="shared" si="93"/>
        <v>0</v>
      </c>
      <c r="BQ68" s="290">
        <f t="shared" si="93"/>
        <v>0</v>
      </c>
      <c r="BR68" s="290">
        <f t="shared" si="93"/>
        <v>0</v>
      </c>
      <c r="BS68" s="290">
        <f t="shared" si="93"/>
        <v>0</v>
      </c>
      <c r="BT68" s="290"/>
      <c r="BU68" s="290"/>
      <c r="BV68" s="290"/>
      <c r="BW68" s="290">
        <f t="shared" si="93"/>
        <v>0</v>
      </c>
      <c r="BX68" s="290">
        <f t="shared" si="93"/>
        <v>0</v>
      </c>
      <c r="BY68" s="290">
        <f t="shared" si="93"/>
        <v>0</v>
      </c>
      <c r="BZ68" s="290">
        <f t="shared" si="93"/>
        <v>0</v>
      </c>
      <c r="CA68" s="290">
        <f t="shared" si="93"/>
        <v>0</v>
      </c>
      <c r="CB68" s="290">
        <f t="shared" si="93"/>
        <v>0</v>
      </c>
      <c r="CC68" s="290">
        <f t="shared" si="93"/>
        <v>0</v>
      </c>
      <c r="CD68" s="290">
        <f t="shared" si="93"/>
        <v>0</v>
      </c>
      <c r="CE68" s="290">
        <f t="shared" si="93"/>
        <v>0</v>
      </c>
      <c r="CF68" s="290">
        <f t="shared" si="93"/>
        <v>0</v>
      </c>
      <c r="CG68" s="290">
        <f t="shared" si="93"/>
        <v>0</v>
      </c>
      <c r="CH68" s="290">
        <f t="shared" si="93"/>
        <v>0</v>
      </c>
      <c r="CI68" s="290">
        <f t="shared" si="93"/>
        <v>0</v>
      </c>
      <c r="CJ68" s="290">
        <f t="shared" si="93"/>
        <v>0</v>
      </c>
      <c r="CK68" s="290">
        <f t="shared" si="93"/>
        <v>0</v>
      </c>
      <c r="CL68" s="290">
        <f t="shared" si="93"/>
        <v>0</v>
      </c>
      <c r="CM68" s="290">
        <f t="shared" si="93"/>
        <v>0</v>
      </c>
      <c r="CN68" s="290">
        <f t="shared" si="93"/>
        <v>0</v>
      </c>
      <c r="CO68" s="290">
        <f t="shared" si="93"/>
        <v>0</v>
      </c>
      <c r="CP68" s="290">
        <f t="shared" si="93"/>
        <v>0</v>
      </c>
      <c r="CQ68" s="290">
        <f t="shared" si="93"/>
        <v>800000</v>
      </c>
      <c r="CR68" s="290">
        <f t="shared" si="93"/>
        <v>0</v>
      </c>
      <c r="CS68" s="290">
        <f t="shared" si="93"/>
        <v>0</v>
      </c>
      <c r="CT68" s="290">
        <f t="shared" si="93"/>
        <v>0</v>
      </c>
      <c r="CU68" s="290">
        <f t="shared" si="93"/>
        <v>800000</v>
      </c>
      <c r="CV68" s="290">
        <f t="shared" si="93"/>
        <v>0</v>
      </c>
      <c r="CW68" s="290">
        <f t="shared" si="93"/>
        <v>0</v>
      </c>
      <c r="CX68" s="290">
        <f t="shared" si="93"/>
        <v>0</v>
      </c>
      <c r="CY68" s="290">
        <f t="shared" si="93"/>
        <v>2500000</v>
      </c>
      <c r="CZ68" s="290">
        <f t="shared" si="93"/>
        <v>0</v>
      </c>
      <c r="DA68" s="290">
        <f t="shared" si="93"/>
        <v>0</v>
      </c>
      <c r="DB68" s="290">
        <f t="shared" si="93"/>
        <v>0</v>
      </c>
      <c r="DC68" s="290">
        <f t="shared" si="93"/>
        <v>2500000</v>
      </c>
      <c r="DD68" s="290">
        <f t="shared" si="93"/>
        <v>2100000</v>
      </c>
      <c r="DE68" s="290">
        <f t="shared" si="93"/>
        <v>2100000</v>
      </c>
      <c r="DF68" s="290">
        <f t="shared" si="93"/>
        <v>2100000</v>
      </c>
      <c r="DG68" s="290">
        <f t="shared" si="93"/>
        <v>46400000</v>
      </c>
      <c r="DH68" s="290">
        <f t="shared" si="93"/>
        <v>0</v>
      </c>
      <c r="DI68" s="290">
        <f t="shared" si="93"/>
        <v>0</v>
      </c>
      <c r="DJ68" s="290">
        <f t="shared" si="93"/>
        <v>0</v>
      </c>
      <c r="DK68" s="290">
        <f t="shared" si="93"/>
        <v>7000000</v>
      </c>
      <c r="DL68" s="290">
        <f t="shared" si="93"/>
        <v>0</v>
      </c>
      <c r="DM68" s="290">
        <f t="shared" si="93"/>
        <v>0</v>
      </c>
      <c r="DN68" s="290">
        <f t="shared" si="93"/>
        <v>0</v>
      </c>
      <c r="DO68" s="290">
        <f t="shared" si="93"/>
        <v>0</v>
      </c>
      <c r="DP68" s="290">
        <f t="shared" si="93"/>
        <v>0</v>
      </c>
      <c r="DQ68" s="290">
        <f t="shared" si="93"/>
        <v>0</v>
      </c>
      <c r="DR68" s="290">
        <f t="shared" si="93"/>
        <v>0</v>
      </c>
      <c r="DS68" s="290">
        <f t="shared" si="93"/>
        <v>0</v>
      </c>
      <c r="DT68" s="290">
        <f t="shared" si="93"/>
        <v>0</v>
      </c>
      <c r="DU68" s="290">
        <f t="shared" si="93"/>
        <v>0</v>
      </c>
      <c r="DV68" s="290">
        <f t="shared" si="93"/>
        <v>0</v>
      </c>
      <c r="DW68" s="286">
        <f t="shared" si="92"/>
        <v>585000000</v>
      </c>
      <c r="DX68" s="286">
        <f t="shared" si="92"/>
        <v>215043298</v>
      </c>
      <c r="DY68" s="286">
        <f t="shared" si="92"/>
        <v>161929725</v>
      </c>
      <c r="DZ68" s="286">
        <f t="shared" si="92"/>
        <v>161929725</v>
      </c>
      <c r="EA68" s="291">
        <f>+SUM(DW69:DW70)-DW68</f>
        <v>0</v>
      </c>
      <c r="EB68" s="292">
        <f>+DW68-B68</f>
        <v>0</v>
      </c>
    </row>
    <row r="69" spans="1:132" ht="45.75" customHeight="1" x14ac:dyDescent="0.2">
      <c r="A69" s="293" t="s">
        <v>2046</v>
      </c>
      <c r="B69" s="294">
        <f>DW68</f>
        <v>585000000</v>
      </c>
      <c r="C69" s="295">
        <f>350000000/2</f>
        <v>175000000</v>
      </c>
      <c r="D69" s="295">
        <f>212943298/2</f>
        <v>106471649</v>
      </c>
      <c r="E69" s="295">
        <f>159829725/2</f>
        <v>79914862.5</v>
      </c>
      <c r="F69" s="295">
        <f>159829725/2</f>
        <v>79914862.5</v>
      </c>
      <c r="G69" s="295">
        <f>175000000/2</f>
        <v>87500000</v>
      </c>
      <c r="H69" s="295">
        <v>0</v>
      </c>
      <c r="I69" s="295">
        <v>0</v>
      </c>
      <c r="J69" s="295">
        <v>0</v>
      </c>
      <c r="K69" s="295">
        <v>0</v>
      </c>
      <c r="L69" s="295">
        <v>0</v>
      </c>
      <c r="M69" s="295">
        <v>0</v>
      </c>
      <c r="N69" s="295">
        <v>0</v>
      </c>
      <c r="O69" s="295">
        <v>0</v>
      </c>
      <c r="P69" s="295">
        <v>0</v>
      </c>
      <c r="Q69" s="295">
        <v>0</v>
      </c>
      <c r="R69" s="295">
        <v>0</v>
      </c>
      <c r="S69" s="295">
        <v>0</v>
      </c>
      <c r="T69" s="295">
        <v>0</v>
      </c>
      <c r="U69" s="295">
        <v>0</v>
      </c>
      <c r="V69" s="295">
        <v>0</v>
      </c>
      <c r="W69" s="295">
        <v>0</v>
      </c>
      <c r="X69" s="295">
        <v>0</v>
      </c>
      <c r="Y69" s="295">
        <v>0</v>
      </c>
      <c r="Z69" s="295">
        <v>0</v>
      </c>
      <c r="AA69" s="295">
        <v>0</v>
      </c>
      <c r="AB69" s="295">
        <v>0</v>
      </c>
      <c r="AC69" s="295">
        <v>0</v>
      </c>
      <c r="AD69" s="295">
        <v>0</v>
      </c>
      <c r="AE69" s="295">
        <v>0</v>
      </c>
      <c r="AF69" s="295">
        <v>0</v>
      </c>
      <c r="AG69" s="295">
        <v>0</v>
      </c>
      <c r="AH69" s="295">
        <v>0</v>
      </c>
      <c r="AI69" s="295">
        <v>0</v>
      </c>
      <c r="AJ69" s="295">
        <v>0</v>
      </c>
      <c r="AK69" s="295">
        <v>0</v>
      </c>
      <c r="AL69" s="295">
        <v>0</v>
      </c>
      <c r="AM69" s="295">
        <v>0</v>
      </c>
      <c r="AN69" s="295">
        <v>0</v>
      </c>
      <c r="AO69" s="295">
        <v>0</v>
      </c>
      <c r="AP69" s="295">
        <v>0</v>
      </c>
      <c r="AQ69" s="295">
        <v>0</v>
      </c>
      <c r="AR69" s="295">
        <v>0</v>
      </c>
      <c r="AS69" s="295">
        <v>0</v>
      </c>
      <c r="AT69" s="295">
        <v>0</v>
      </c>
      <c r="AU69" s="295">
        <v>0</v>
      </c>
      <c r="AV69" s="295">
        <v>0</v>
      </c>
      <c r="AW69" s="295">
        <v>0</v>
      </c>
      <c r="AX69" s="295">
        <v>0</v>
      </c>
      <c r="AY69" s="295">
        <v>0</v>
      </c>
      <c r="AZ69" s="295">
        <v>0</v>
      </c>
      <c r="BA69" s="295">
        <v>0</v>
      </c>
      <c r="BB69" s="295">
        <v>0</v>
      </c>
      <c r="BC69" s="295">
        <v>0</v>
      </c>
      <c r="BD69" s="295">
        <v>0</v>
      </c>
      <c r="BE69" s="295">
        <v>0</v>
      </c>
      <c r="BF69" s="295">
        <v>0</v>
      </c>
      <c r="BG69" s="295">
        <v>0</v>
      </c>
      <c r="BH69" s="295">
        <v>0</v>
      </c>
      <c r="BI69" s="295">
        <v>0</v>
      </c>
      <c r="BJ69" s="295">
        <v>0</v>
      </c>
      <c r="BK69" s="295"/>
      <c r="BL69" s="295"/>
      <c r="BM69" s="295"/>
      <c r="BN69" s="295"/>
      <c r="BO69" s="295">
        <v>0</v>
      </c>
      <c r="BP69" s="295">
        <v>0</v>
      </c>
      <c r="BQ69" s="295">
        <v>0</v>
      </c>
      <c r="BR69" s="295">
        <v>0</v>
      </c>
      <c r="BS69" s="295">
        <v>0</v>
      </c>
      <c r="BT69" s="295">
        <v>0</v>
      </c>
      <c r="BU69" s="295">
        <v>0</v>
      </c>
      <c r="BV69" s="295">
        <v>0</v>
      </c>
      <c r="BW69" s="295">
        <v>0</v>
      </c>
      <c r="BX69" s="295">
        <v>0</v>
      </c>
      <c r="BY69" s="295">
        <v>0</v>
      </c>
      <c r="BZ69" s="295">
        <v>0</v>
      </c>
      <c r="CA69" s="295">
        <v>0</v>
      </c>
      <c r="CB69" s="295">
        <v>0</v>
      </c>
      <c r="CC69" s="295">
        <v>0</v>
      </c>
      <c r="CD69" s="295">
        <v>0</v>
      </c>
      <c r="CE69" s="295">
        <v>0</v>
      </c>
      <c r="CF69" s="295">
        <v>0</v>
      </c>
      <c r="CG69" s="295">
        <v>0</v>
      </c>
      <c r="CH69" s="295">
        <v>0</v>
      </c>
      <c r="CI69" s="295">
        <v>0</v>
      </c>
      <c r="CJ69" s="295">
        <v>0</v>
      </c>
      <c r="CK69" s="295">
        <v>0</v>
      </c>
      <c r="CL69" s="295">
        <v>0</v>
      </c>
      <c r="CM69" s="295"/>
      <c r="CN69" s="295"/>
      <c r="CO69" s="295"/>
      <c r="CP69" s="295"/>
      <c r="CQ69" s="295">
        <v>400000</v>
      </c>
      <c r="CR69" s="295"/>
      <c r="CS69" s="295"/>
      <c r="CT69" s="295"/>
      <c r="CU69" s="295">
        <f>800000/2</f>
        <v>400000</v>
      </c>
      <c r="CV69" s="295">
        <v>0</v>
      </c>
      <c r="CW69" s="295">
        <v>0</v>
      </c>
      <c r="CX69" s="295">
        <v>0</v>
      </c>
      <c r="CY69" s="295">
        <f>2500000/2</f>
        <v>1250000</v>
      </c>
      <c r="CZ69" s="295">
        <v>0</v>
      </c>
      <c r="DA69" s="295">
        <v>0</v>
      </c>
      <c r="DB69" s="295">
        <v>0</v>
      </c>
      <c r="DC69" s="295">
        <f>2500000/2</f>
        <v>1250000</v>
      </c>
      <c r="DD69" s="295">
        <f t="shared" ref="DD69:DF70" si="94">2100000/2</f>
        <v>1050000</v>
      </c>
      <c r="DE69" s="295">
        <f t="shared" si="94"/>
        <v>1050000</v>
      </c>
      <c r="DF69" s="295">
        <f t="shared" si="94"/>
        <v>1050000</v>
      </c>
      <c r="DG69" s="295">
        <f>46400000/2</f>
        <v>23200000</v>
      </c>
      <c r="DH69" s="295">
        <v>0</v>
      </c>
      <c r="DI69" s="295">
        <v>0</v>
      </c>
      <c r="DJ69" s="295">
        <v>0</v>
      </c>
      <c r="DK69" s="295">
        <f>7000000/2</f>
        <v>3500000</v>
      </c>
      <c r="DL69" s="295">
        <v>0</v>
      </c>
      <c r="DM69" s="295">
        <v>0</v>
      </c>
      <c r="DN69" s="295">
        <v>0</v>
      </c>
      <c r="DO69" s="295">
        <v>0</v>
      </c>
      <c r="DP69" s="295">
        <v>0</v>
      </c>
      <c r="DQ69" s="295">
        <v>0</v>
      </c>
      <c r="DR69" s="295">
        <v>0</v>
      </c>
      <c r="DS69" s="295">
        <v>0</v>
      </c>
      <c r="DT69" s="295">
        <v>0</v>
      </c>
      <c r="DU69" s="295">
        <v>0</v>
      </c>
      <c r="DV69" s="295">
        <v>0</v>
      </c>
      <c r="DW69" s="311">
        <f t="shared" si="92"/>
        <v>292500000</v>
      </c>
      <c r="DX69" s="311">
        <f t="shared" si="92"/>
        <v>107521649</v>
      </c>
      <c r="DY69" s="311">
        <f t="shared" si="92"/>
        <v>80964862.5</v>
      </c>
      <c r="DZ69" s="311">
        <f t="shared" si="92"/>
        <v>80964862.5</v>
      </c>
      <c r="EA69" s="287"/>
    </row>
    <row r="70" spans="1:132" ht="45.75" customHeight="1" x14ac:dyDescent="0.2">
      <c r="A70" s="297" t="s">
        <v>2047</v>
      </c>
      <c r="B70" s="301"/>
      <c r="C70" s="295">
        <f>350000000/2</f>
        <v>175000000</v>
      </c>
      <c r="D70" s="295">
        <f>212943298/2</f>
        <v>106471649</v>
      </c>
      <c r="E70" s="295">
        <f>159829725/2</f>
        <v>79914862.5</v>
      </c>
      <c r="F70" s="295">
        <f>159829725/2</f>
        <v>79914862.5</v>
      </c>
      <c r="G70" s="295">
        <f>175000000/2</f>
        <v>87500000</v>
      </c>
      <c r="H70" s="299">
        <v>0</v>
      </c>
      <c r="I70" s="299">
        <v>0</v>
      </c>
      <c r="J70" s="299">
        <v>0</v>
      </c>
      <c r="K70" s="299">
        <v>0</v>
      </c>
      <c r="L70" s="299">
        <v>0</v>
      </c>
      <c r="M70" s="299">
        <v>0</v>
      </c>
      <c r="N70" s="299">
        <v>0</v>
      </c>
      <c r="O70" s="299">
        <v>0</v>
      </c>
      <c r="P70" s="299">
        <v>0</v>
      </c>
      <c r="Q70" s="299">
        <v>0</v>
      </c>
      <c r="R70" s="299">
        <v>0</v>
      </c>
      <c r="S70" s="299">
        <v>0</v>
      </c>
      <c r="T70" s="299">
        <v>0</v>
      </c>
      <c r="U70" s="299">
        <v>0</v>
      </c>
      <c r="V70" s="299">
        <v>0</v>
      </c>
      <c r="W70" s="299">
        <v>0</v>
      </c>
      <c r="X70" s="299">
        <v>0</v>
      </c>
      <c r="Y70" s="299">
        <v>0</v>
      </c>
      <c r="Z70" s="299">
        <v>0</v>
      </c>
      <c r="AA70" s="299">
        <v>0</v>
      </c>
      <c r="AB70" s="299">
        <v>0</v>
      </c>
      <c r="AC70" s="299">
        <v>0</v>
      </c>
      <c r="AD70" s="299">
        <v>0</v>
      </c>
      <c r="AE70" s="299">
        <v>0</v>
      </c>
      <c r="AF70" s="299">
        <v>0</v>
      </c>
      <c r="AG70" s="299">
        <v>0</v>
      </c>
      <c r="AH70" s="299">
        <v>0</v>
      </c>
      <c r="AI70" s="299">
        <v>0</v>
      </c>
      <c r="AJ70" s="299">
        <v>0</v>
      </c>
      <c r="AK70" s="299">
        <v>0</v>
      </c>
      <c r="AL70" s="299">
        <v>0</v>
      </c>
      <c r="AM70" s="300">
        <v>0</v>
      </c>
      <c r="AN70" s="300">
        <v>0</v>
      </c>
      <c r="AO70" s="300">
        <v>0</v>
      </c>
      <c r="AP70" s="300">
        <v>0</v>
      </c>
      <c r="AQ70" s="300"/>
      <c r="AR70" s="300"/>
      <c r="AS70" s="300"/>
      <c r="AT70" s="300"/>
      <c r="AU70" s="300">
        <v>0</v>
      </c>
      <c r="AV70" s="300">
        <v>0</v>
      </c>
      <c r="AW70" s="300">
        <v>0</v>
      </c>
      <c r="AX70" s="300">
        <v>0</v>
      </c>
      <c r="AY70" s="300">
        <v>0</v>
      </c>
      <c r="AZ70" s="300">
        <v>0</v>
      </c>
      <c r="BA70" s="300">
        <v>0</v>
      </c>
      <c r="BB70" s="300">
        <v>0</v>
      </c>
      <c r="BC70" s="300">
        <v>0</v>
      </c>
      <c r="BD70" s="300">
        <v>0</v>
      </c>
      <c r="BE70" s="300">
        <v>0</v>
      </c>
      <c r="BF70" s="300">
        <v>0</v>
      </c>
      <c r="BG70" s="300">
        <v>0</v>
      </c>
      <c r="BH70" s="300">
        <v>0</v>
      </c>
      <c r="BI70" s="300">
        <v>0</v>
      </c>
      <c r="BJ70" s="300">
        <v>0</v>
      </c>
      <c r="BK70" s="300"/>
      <c r="BL70" s="300"/>
      <c r="BM70" s="300"/>
      <c r="BN70" s="300"/>
      <c r="BO70" s="300">
        <v>0</v>
      </c>
      <c r="BP70" s="300">
        <v>0</v>
      </c>
      <c r="BQ70" s="300">
        <v>0</v>
      </c>
      <c r="BR70" s="300">
        <v>0</v>
      </c>
      <c r="BS70" s="300">
        <v>0</v>
      </c>
      <c r="BT70" s="300">
        <v>0</v>
      </c>
      <c r="BU70" s="300">
        <v>0</v>
      </c>
      <c r="BV70" s="300">
        <v>0</v>
      </c>
      <c r="BW70" s="300">
        <v>0</v>
      </c>
      <c r="BX70" s="300">
        <v>0</v>
      </c>
      <c r="BY70" s="300">
        <v>0</v>
      </c>
      <c r="BZ70" s="300">
        <v>0</v>
      </c>
      <c r="CA70" s="300">
        <v>0</v>
      </c>
      <c r="CB70" s="300">
        <v>0</v>
      </c>
      <c r="CC70" s="300">
        <v>0</v>
      </c>
      <c r="CD70" s="300">
        <v>0</v>
      </c>
      <c r="CE70" s="300">
        <v>0</v>
      </c>
      <c r="CF70" s="300">
        <v>0</v>
      </c>
      <c r="CG70" s="300">
        <v>0</v>
      </c>
      <c r="CH70" s="300">
        <v>0</v>
      </c>
      <c r="CI70" s="300">
        <v>0</v>
      </c>
      <c r="CJ70" s="300">
        <v>0</v>
      </c>
      <c r="CK70" s="300">
        <v>0</v>
      </c>
      <c r="CL70" s="300">
        <v>0</v>
      </c>
      <c r="CM70" s="300"/>
      <c r="CN70" s="300"/>
      <c r="CO70" s="300"/>
      <c r="CP70" s="300"/>
      <c r="CQ70" s="300">
        <v>400000</v>
      </c>
      <c r="CR70" s="300"/>
      <c r="CS70" s="300"/>
      <c r="CT70" s="300"/>
      <c r="CU70" s="295">
        <f>800000/2</f>
        <v>400000</v>
      </c>
      <c r="CV70" s="300">
        <v>0</v>
      </c>
      <c r="CW70" s="300">
        <v>0</v>
      </c>
      <c r="CX70" s="300">
        <v>0</v>
      </c>
      <c r="CY70" s="295">
        <f>2500000/2</f>
        <v>1250000</v>
      </c>
      <c r="CZ70" s="300">
        <v>0</v>
      </c>
      <c r="DA70" s="300">
        <v>0</v>
      </c>
      <c r="DB70" s="300">
        <v>0</v>
      </c>
      <c r="DC70" s="295">
        <f>2500000/2</f>
        <v>1250000</v>
      </c>
      <c r="DD70" s="295">
        <f t="shared" si="94"/>
        <v>1050000</v>
      </c>
      <c r="DE70" s="295">
        <f t="shared" si="94"/>
        <v>1050000</v>
      </c>
      <c r="DF70" s="295">
        <f t="shared" si="94"/>
        <v>1050000</v>
      </c>
      <c r="DG70" s="295">
        <f>46400000/2</f>
        <v>23200000</v>
      </c>
      <c r="DH70" s="300">
        <v>0</v>
      </c>
      <c r="DI70" s="300">
        <v>0</v>
      </c>
      <c r="DJ70" s="300">
        <v>0</v>
      </c>
      <c r="DK70" s="295">
        <f>7000000/2</f>
        <v>3500000</v>
      </c>
      <c r="DL70" s="300">
        <v>0</v>
      </c>
      <c r="DM70" s="300">
        <v>0</v>
      </c>
      <c r="DN70" s="300">
        <v>0</v>
      </c>
      <c r="DO70" s="300">
        <v>0</v>
      </c>
      <c r="DP70" s="300">
        <v>0</v>
      </c>
      <c r="DQ70" s="300">
        <v>0</v>
      </c>
      <c r="DR70" s="300">
        <v>0</v>
      </c>
      <c r="DS70" s="300">
        <v>0</v>
      </c>
      <c r="DT70" s="300">
        <v>0</v>
      </c>
      <c r="DU70" s="300">
        <v>0</v>
      </c>
      <c r="DV70" s="300">
        <v>0</v>
      </c>
      <c r="DW70" s="311">
        <f t="shared" si="92"/>
        <v>292500000</v>
      </c>
      <c r="DX70" s="311">
        <f t="shared" si="92"/>
        <v>107521649</v>
      </c>
      <c r="DY70" s="311">
        <f t="shared" si="92"/>
        <v>80964862.5</v>
      </c>
      <c r="DZ70" s="311">
        <f t="shared" si="92"/>
        <v>80964862.5</v>
      </c>
      <c r="EA70" s="302">
        <f>+SUM(DW69:DW70)-B69</f>
        <v>0</v>
      </c>
    </row>
    <row r="71" spans="1:132" ht="45.75" customHeight="1" x14ac:dyDescent="0.2">
      <c r="A71" s="303" t="s">
        <v>2048</v>
      </c>
      <c r="B71" s="290">
        <f>SUM(B72:B74)</f>
        <v>1014000000</v>
      </c>
      <c r="C71" s="290">
        <f t="shared" ref="C71:DV71" si="95">SUM(C72:C74)</f>
        <v>400000000</v>
      </c>
      <c r="D71" s="290">
        <f t="shared" si="95"/>
        <v>292090209.08999997</v>
      </c>
      <c r="E71" s="290">
        <f t="shared" si="95"/>
        <v>56103456.119999997</v>
      </c>
      <c r="F71" s="290">
        <f t="shared" si="95"/>
        <v>47190672.119999997</v>
      </c>
      <c r="G71" s="290">
        <f t="shared" si="95"/>
        <v>454499409.46000004</v>
      </c>
      <c r="H71" s="290">
        <f t="shared" si="95"/>
        <v>450000000</v>
      </c>
      <c r="I71" s="290">
        <f t="shared" si="95"/>
        <v>180000000</v>
      </c>
      <c r="J71" s="290">
        <f t="shared" si="95"/>
        <v>180000000</v>
      </c>
      <c r="K71" s="290">
        <f t="shared" si="95"/>
        <v>0</v>
      </c>
      <c r="L71" s="290">
        <f t="shared" si="95"/>
        <v>0</v>
      </c>
      <c r="M71" s="290">
        <f t="shared" si="95"/>
        <v>0</v>
      </c>
      <c r="N71" s="290">
        <f t="shared" si="95"/>
        <v>0</v>
      </c>
      <c r="O71" s="290">
        <f t="shared" si="95"/>
        <v>0</v>
      </c>
      <c r="P71" s="290">
        <f t="shared" si="95"/>
        <v>0</v>
      </c>
      <c r="Q71" s="290">
        <f t="shared" si="95"/>
        <v>0</v>
      </c>
      <c r="R71" s="290">
        <f t="shared" si="95"/>
        <v>0</v>
      </c>
      <c r="S71" s="290">
        <f t="shared" si="95"/>
        <v>0</v>
      </c>
      <c r="T71" s="290">
        <f t="shared" si="95"/>
        <v>0</v>
      </c>
      <c r="U71" s="290">
        <f t="shared" si="95"/>
        <v>0</v>
      </c>
      <c r="V71" s="290">
        <f t="shared" si="95"/>
        <v>0</v>
      </c>
      <c r="W71" s="290">
        <f t="shared" si="95"/>
        <v>0</v>
      </c>
      <c r="X71" s="290">
        <f t="shared" si="95"/>
        <v>0</v>
      </c>
      <c r="Y71" s="290">
        <f t="shared" si="95"/>
        <v>0</v>
      </c>
      <c r="Z71" s="290">
        <f t="shared" si="95"/>
        <v>0</v>
      </c>
      <c r="AA71" s="290">
        <f t="shared" si="95"/>
        <v>112541076.49000001</v>
      </c>
      <c r="AB71" s="290">
        <f t="shared" si="95"/>
        <v>46950480</v>
      </c>
      <c r="AC71" s="290">
        <f t="shared" si="95"/>
        <v>10547820</v>
      </c>
      <c r="AD71" s="290">
        <f t="shared" si="95"/>
        <v>5700096</v>
      </c>
      <c r="AE71" s="290">
        <f t="shared" si="95"/>
        <v>46883673.560000002</v>
      </c>
      <c r="AF71" s="290">
        <f t="shared" si="95"/>
        <v>0</v>
      </c>
      <c r="AG71" s="290">
        <f t="shared" si="95"/>
        <v>0</v>
      </c>
      <c r="AH71" s="290">
        <f t="shared" si="95"/>
        <v>0</v>
      </c>
      <c r="AI71" s="290">
        <f t="shared" si="95"/>
        <v>75840.490000000005</v>
      </c>
      <c r="AJ71" s="290">
        <f t="shared" si="95"/>
        <v>0</v>
      </c>
      <c r="AK71" s="290">
        <f t="shared" si="95"/>
        <v>0</v>
      </c>
      <c r="AL71" s="290">
        <f t="shared" si="95"/>
        <v>0</v>
      </c>
      <c r="AM71" s="290">
        <f t="shared" si="95"/>
        <v>0</v>
      </c>
      <c r="AN71" s="290">
        <f t="shared" si="95"/>
        <v>0</v>
      </c>
      <c r="AO71" s="290">
        <f t="shared" si="95"/>
        <v>0</v>
      </c>
      <c r="AP71" s="290">
        <f t="shared" si="95"/>
        <v>0</v>
      </c>
      <c r="AQ71" s="290">
        <f t="shared" si="95"/>
        <v>0</v>
      </c>
      <c r="AR71" s="290">
        <f t="shared" si="95"/>
        <v>0</v>
      </c>
      <c r="AS71" s="290">
        <f t="shared" si="95"/>
        <v>0</v>
      </c>
      <c r="AT71" s="290">
        <f t="shared" si="95"/>
        <v>0</v>
      </c>
      <c r="AU71" s="290">
        <f t="shared" si="95"/>
        <v>0</v>
      </c>
      <c r="AV71" s="290">
        <f t="shared" si="95"/>
        <v>0</v>
      </c>
      <c r="AW71" s="290">
        <f t="shared" si="95"/>
        <v>0</v>
      </c>
      <c r="AX71" s="290">
        <f t="shared" si="95"/>
        <v>0</v>
      </c>
      <c r="AY71" s="290">
        <f t="shared" si="95"/>
        <v>0</v>
      </c>
      <c r="AZ71" s="290">
        <f t="shared" si="95"/>
        <v>0</v>
      </c>
      <c r="BA71" s="290">
        <f t="shared" si="95"/>
        <v>0</v>
      </c>
      <c r="BB71" s="290">
        <f t="shared" si="95"/>
        <v>0</v>
      </c>
      <c r="BC71" s="290">
        <f t="shared" si="95"/>
        <v>0</v>
      </c>
      <c r="BD71" s="290">
        <f t="shared" si="95"/>
        <v>0</v>
      </c>
      <c r="BE71" s="290">
        <f t="shared" si="95"/>
        <v>0</v>
      </c>
      <c r="BF71" s="290">
        <f t="shared" si="95"/>
        <v>0</v>
      </c>
      <c r="BG71" s="290">
        <f t="shared" si="95"/>
        <v>0</v>
      </c>
      <c r="BH71" s="290">
        <f t="shared" si="95"/>
        <v>0</v>
      </c>
      <c r="BI71" s="290">
        <f t="shared" si="95"/>
        <v>0</v>
      </c>
      <c r="BJ71" s="290">
        <f t="shared" si="95"/>
        <v>0</v>
      </c>
      <c r="BK71" s="290">
        <f t="shared" si="95"/>
        <v>0</v>
      </c>
      <c r="BL71" s="290">
        <f t="shared" si="95"/>
        <v>0</v>
      </c>
      <c r="BM71" s="290">
        <f t="shared" si="95"/>
        <v>0</v>
      </c>
      <c r="BN71" s="290">
        <f t="shared" si="95"/>
        <v>0</v>
      </c>
      <c r="BO71" s="290">
        <f t="shared" si="95"/>
        <v>0</v>
      </c>
      <c r="BP71" s="290">
        <f t="shared" si="95"/>
        <v>0</v>
      </c>
      <c r="BQ71" s="290">
        <f t="shared" si="95"/>
        <v>0</v>
      </c>
      <c r="BR71" s="290">
        <f t="shared" si="95"/>
        <v>0</v>
      </c>
      <c r="BS71" s="290">
        <f t="shared" si="95"/>
        <v>0</v>
      </c>
      <c r="BT71" s="290">
        <f t="shared" si="95"/>
        <v>0</v>
      </c>
      <c r="BU71" s="290">
        <f t="shared" si="95"/>
        <v>0</v>
      </c>
      <c r="BV71" s="290">
        <f t="shared" si="95"/>
        <v>0</v>
      </c>
      <c r="BW71" s="290">
        <f t="shared" si="95"/>
        <v>0</v>
      </c>
      <c r="BX71" s="290">
        <f t="shared" si="95"/>
        <v>0</v>
      </c>
      <c r="BY71" s="290">
        <f t="shared" si="95"/>
        <v>0</v>
      </c>
      <c r="BZ71" s="290">
        <f t="shared" si="95"/>
        <v>0</v>
      </c>
      <c r="CA71" s="290">
        <f t="shared" si="95"/>
        <v>0</v>
      </c>
      <c r="CB71" s="290">
        <f t="shared" si="95"/>
        <v>0</v>
      </c>
      <c r="CC71" s="290">
        <f t="shared" si="95"/>
        <v>0</v>
      </c>
      <c r="CD71" s="290">
        <f t="shared" si="95"/>
        <v>0</v>
      </c>
      <c r="CE71" s="290">
        <f t="shared" si="95"/>
        <v>0</v>
      </c>
      <c r="CF71" s="290">
        <f t="shared" si="95"/>
        <v>0</v>
      </c>
      <c r="CG71" s="290">
        <f t="shared" si="95"/>
        <v>0</v>
      </c>
      <c r="CH71" s="290">
        <f t="shared" si="95"/>
        <v>0</v>
      </c>
      <c r="CI71" s="290">
        <f t="shared" si="95"/>
        <v>0</v>
      </c>
      <c r="CJ71" s="290">
        <f t="shared" si="95"/>
        <v>0</v>
      </c>
      <c r="CK71" s="290">
        <f t="shared" si="95"/>
        <v>0</v>
      </c>
      <c r="CL71" s="290">
        <f t="shared" si="95"/>
        <v>0</v>
      </c>
      <c r="CM71" s="290">
        <f t="shared" si="95"/>
        <v>0</v>
      </c>
      <c r="CN71" s="290">
        <f t="shared" si="95"/>
        <v>0</v>
      </c>
      <c r="CO71" s="290">
        <f t="shared" si="95"/>
        <v>0</v>
      </c>
      <c r="CP71" s="290">
        <f t="shared" si="95"/>
        <v>0</v>
      </c>
      <c r="CQ71" s="290">
        <f t="shared" si="95"/>
        <v>0</v>
      </c>
      <c r="CR71" s="290">
        <f t="shared" si="95"/>
        <v>0</v>
      </c>
      <c r="CS71" s="290">
        <f t="shared" si="95"/>
        <v>0</v>
      </c>
      <c r="CT71" s="290">
        <f t="shared" si="95"/>
        <v>0</v>
      </c>
      <c r="CU71" s="290">
        <f t="shared" si="95"/>
        <v>0</v>
      </c>
      <c r="CV71" s="290">
        <f t="shared" si="95"/>
        <v>0</v>
      </c>
      <c r="CW71" s="290">
        <f t="shared" si="95"/>
        <v>0</v>
      </c>
      <c r="CX71" s="290">
        <f t="shared" si="95"/>
        <v>0</v>
      </c>
      <c r="CY71" s="290">
        <f t="shared" si="95"/>
        <v>0</v>
      </c>
      <c r="CZ71" s="290">
        <f t="shared" si="95"/>
        <v>0</v>
      </c>
      <c r="DA71" s="290">
        <f t="shared" si="95"/>
        <v>0</v>
      </c>
      <c r="DB71" s="290">
        <f t="shared" si="95"/>
        <v>0</v>
      </c>
      <c r="DC71" s="290">
        <f t="shared" si="95"/>
        <v>0</v>
      </c>
      <c r="DD71" s="290">
        <f t="shared" si="95"/>
        <v>0</v>
      </c>
      <c r="DE71" s="290">
        <f t="shared" si="95"/>
        <v>0</v>
      </c>
      <c r="DF71" s="290">
        <f t="shared" si="95"/>
        <v>0</v>
      </c>
      <c r="DG71" s="290">
        <f t="shared" si="95"/>
        <v>0</v>
      </c>
      <c r="DH71" s="290">
        <f t="shared" si="95"/>
        <v>0</v>
      </c>
      <c r="DI71" s="290">
        <f t="shared" si="95"/>
        <v>0</v>
      </c>
      <c r="DJ71" s="290">
        <f t="shared" si="95"/>
        <v>0</v>
      </c>
      <c r="DK71" s="290">
        <f t="shared" si="95"/>
        <v>0</v>
      </c>
      <c r="DL71" s="290">
        <f t="shared" si="95"/>
        <v>0</v>
      </c>
      <c r="DM71" s="290">
        <f t="shared" si="95"/>
        <v>0</v>
      </c>
      <c r="DN71" s="290">
        <f t="shared" si="95"/>
        <v>0</v>
      </c>
      <c r="DO71" s="290">
        <f t="shared" si="95"/>
        <v>0</v>
      </c>
      <c r="DP71" s="290">
        <f t="shared" si="95"/>
        <v>0</v>
      </c>
      <c r="DQ71" s="290">
        <f t="shared" si="95"/>
        <v>0</v>
      </c>
      <c r="DR71" s="290">
        <f t="shared" si="95"/>
        <v>0</v>
      </c>
      <c r="DS71" s="290">
        <f t="shared" si="95"/>
        <v>0</v>
      </c>
      <c r="DT71" s="290">
        <f t="shared" si="95"/>
        <v>0</v>
      </c>
      <c r="DU71" s="290">
        <f t="shared" si="95"/>
        <v>0</v>
      </c>
      <c r="DV71" s="290">
        <f t="shared" si="95"/>
        <v>0</v>
      </c>
      <c r="DW71" s="312">
        <f t="shared" si="92"/>
        <v>1014000000</v>
      </c>
      <c r="DX71" s="312">
        <f t="shared" si="92"/>
        <v>789040689.08999991</v>
      </c>
      <c r="DY71" s="312">
        <f t="shared" si="92"/>
        <v>246651276.12</v>
      </c>
      <c r="DZ71" s="312">
        <f t="shared" si="92"/>
        <v>232890768.12</v>
      </c>
      <c r="EA71" s="291">
        <f>+SUM(DW72:DW74)-DW71</f>
        <v>0</v>
      </c>
      <c r="EB71" s="292">
        <f>+DW71-B71</f>
        <v>0</v>
      </c>
    </row>
    <row r="72" spans="1:132" ht="45.75" customHeight="1" x14ac:dyDescent="0.2">
      <c r="A72" s="297" t="s">
        <v>2049</v>
      </c>
      <c r="B72" s="294">
        <f>DW71</f>
        <v>1014000000</v>
      </c>
      <c r="C72" s="299">
        <f>400000000/3</f>
        <v>133333333.33333333</v>
      </c>
      <c r="D72" s="299">
        <f>292090209.09/3</f>
        <v>97363403.029999986</v>
      </c>
      <c r="E72" s="299">
        <f>56103456.12/3</f>
        <v>18701152.039999999</v>
      </c>
      <c r="F72" s="299">
        <f>47190672.12/3</f>
        <v>15730224.039999999</v>
      </c>
      <c r="G72" s="299">
        <f>454499409.46/3</f>
        <v>151499803.15333334</v>
      </c>
      <c r="H72" s="299">
        <f>450000000/3</f>
        <v>150000000</v>
      </c>
      <c r="I72" s="299">
        <f>180000000/3</f>
        <v>60000000</v>
      </c>
      <c r="J72" s="299">
        <f>180000000/3</f>
        <v>60000000</v>
      </c>
      <c r="K72" s="299">
        <v>0</v>
      </c>
      <c r="L72" s="299">
        <v>0</v>
      </c>
      <c r="M72" s="299">
        <v>0</v>
      </c>
      <c r="N72" s="299">
        <v>0</v>
      </c>
      <c r="O72" s="299">
        <v>0</v>
      </c>
      <c r="P72" s="299">
        <v>0</v>
      </c>
      <c r="Q72" s="299">
        <v>0</v>
      </c>
      <c r="R72" s="299">
        <v>0</v>
      </c>
      <c r="S72" s="299">
        <v>0</v>
      </c>
      <c r="T72" s="299">
        <v>0</v>
      </c>
      <c r="U72" s="299">
        <v>0</v>
      </c>
      <c r="V72" s="299">
        <v>0</v>
      </c>
      <c r="W72" s="299">
        <v>0</v>
      </c>
      <c r="X72" s="299">
        <v>0</v>
      </c>
      <c r="Y72" s="299">
        <v>0</v>
      </c>
      <c r="Z72" s="299">
        <v>0</v>
      </c>
      <c r="AA72" s="299">
        <f>112541076.49/3</f>
        <v>37513692.163333334</v>
      </c>
      <c r="AB72" s="299">
        <f>46950480/3</f>
        <v>15650160</v>
      </c>
      <c r="AC72" s="299">
        <f>10547820/3</f>
        <v>3515940</v>
      </c>
      <c r="AD72" s="299">
        <f>5700096/3</f>
        <v>1900032</v>
      </c>
      <c r="AE72" s="299">
        <f>46883673.56/3</f>
        <v>15627891.186666667</v>
      </c>
      <c r="AF72" s="299">
        <v>0</v>
      </c>
      <c r="AG72" s="299">
        <v>0</v>
      </c>
      <c r="AH72" s="299">
        <v>0</v>
      </c>
      <c r="AI72" s="299">
        <f>75840.49/3</f>
        <v>25280.163333333334</v>
      </c>
      <c r="AJ72" s="299">
        <v>0</v>
      </c>
      <c r="AK72" s="299">
        <v>0</v>
      </c>
      <c r="AL72" s="299">
        <v>0</v>
      </c>
      <c r="AM72" s="300">
        <v>0</v>
      </c>
      <c r="AN72" s="300">
        <v>0</v>
      </c>
      <c r="AO72" s="300">
        <v>0</v>
      </c>
      <c r="AP72" s="300">
        <v>0</v>
      </c>
      <c r="AQ72" s="300">
        <v>0</v>
      </c>
      <c r="AR72" s="300">
        <v>0</v>
      </c>
      <c r="AS72" s="300">
        <v>0</v>
      </c>
      <c r="AT72" s="300">
        <v>0</v>
      </c>
      <c r="AU72" s="300">
        <v>0</v>
      </c>
      <c r="AV72" s="300">
        <v>0</v>
      </c>
      <c r="AW72" s="300">
        <v>0</v>
      </c>
      <c r="AX72" s="300">
        <v>0</v>
      </c>
      <c r="AY72" s="300">
        <v>0</v>
      </c>
      <c r="AZ72" s="300">
        <v>0</v>
      </c>
      <c r="BA72" s="300">
        <v>0</v>
      </c>
      <c r="BB72" s="300">
        <v>0</v>
      </c>
      <c r="BC72" s="300">
        <v>0</v>
      </c>
      <c r="BD72" s="300">
        <v>0</v>
      </c>
      <c r="BE72" s="300">
        <v>0</v>
      </c>
      <c r="BF72" s="300">
        <v>0</v>
      </c>
      <c r="BG72" s="300">
        <v>0</v>
      </c>
      <c r="BH72" s="300">
        <v>0</v>
      </c>
      <c r="BI72" s="300">
        <v>0</v>
      </c>
      <c r="BJ72" s="300">
        <v>0</v>
      </c>
      <c r="BK72" s="300">
        <v>0</v>
      </c>
      <c r="BL72" s="300">
        <v>0</v>
      </c>
      <c r="BM72" s="300">
        <v>0</v>
      </c>
      <c r="BN72" s="300">
        <v>0</v>
      </c>
      <c r="BO72" s="300">
        <v>0</v>
      </c>
      <c r="BP72" s="300">
        <v>0</v>
      </c>
      <c r="BQ72" s="300">
        <v>0</v>
      </c>
      <c r="BR72" s="300">
        <v>0</v>
      </c>
      <c r="BS72" s="300">
        <v>0</v>
      </c>
      <c r="BT72" s="300">
        <v>0</v>
      </c>
      <c r="BU72" s="300">
        <v>0</v>
      </c>
      <c r="BV72" s="300">
        <v>0</v>
      </c>
      <c r="BW72" s="300">
        <v>0</v>
      </c>
      <c r="BX72" s="300">
        <v>0</v>
      </c>
      <c r="BY72" s="300">
        <v>0</v>
      </c>
      <c r="BZ72" s="300">
        <v>0</v>
      </c>
      <c r="CA72" s="300">
        <v>0</v>
      </c>
      <c r="CB72" s="300">
        <v>0</v>
      </c>
      <c r="CC72" s="300">
        <v>0</v>
      </c>
      <c r="CD72" s="300">
        <v>0</v>
      </c>
      <c r="CE72" s="300">
        <v>0</v>
      </c>
      <c r="CF72" s="300">
        <v>0</v>
      </c>
      <c r="CG72" s="300">
        <v>0</v>
      </c>
      <c r="CH72" s="300">
        <v>0</v>
      </c>
      <c r="CI72" s="300">
        <v>0</v>
      </c>
      <c r="CJ72" s="300">
        <v>0</v>
      </c>
      <c r="CK72" s="300">
        <v>0</v>
      </c>
      <c r="CL72" s="300">
        <v>0</v>
      </c>
      <c r="CM72" s="300">
        <v>0</v>
      </c>
      <c r="CN72" s="300">
        <v>0</v>
      </c>
      <c r="CO72" s="300">
        <v>0</v>
      </c>
      <c r="CP72" s="300">
        <v>0</v>
      </c>
      <c r="CQ72" s="300">
        <v>0</v>
      </c>
      <c r="CR72" s="300">
        <v>0</v>
      </c>
      <c r="CS72" s="300">
        <v>0</v>
      </c>
      <c r="CT72" s="300">
        <v>0</v>
      </c>
      <c r="CU72" s="300">
        <v>0</v>
      </c>
      <c r="CV72" s="300">
        <v>0</v>
      </c>
      <c r="CW72" s="300">
        <v>0</v>
      </c>
      <c r="CX72" s="300">
        <v>0</v>
      </c>
      <c r="CY72" s="300">
        <v>0</v>
      </c>
      <c r="CZ72" s="300">
        <v>0</v>
      </c>
      <c r="DA72" s="300">
        <v>0</v>
      </c>
      <c r="DB72" s="300">
        <v>0</v>
      </c>
      <c r="DC72" s="300">
        <v>0</v>
      </c>
      <c r="DD72" s="300">
        <v>0</v>
      </c>
      <c r="DE72" s="300">
        <v>0</v>
      </c>
      <c r="DF72" s="300">
        <v>0</v>
      </c>
      <c r="DG72" s="300">
        <v>0</v>
      </c>
      <c r="DH72" s="300">
        <v>0</v>
      </c>
      <c r="DI72" s="300">
        <v>0</v>
      </c>
      <c r="DJ72" s="300">
        <v>0</v>
      </c>
      <c r="DK72" s="300">
        <v>0</v>
      </c>
      <c r="DL72" s="300">
        <v>0</v>
      </c>
      <c r="DM72" s="300">
        <v>0</v>
      </c>
      <c r="DN72" s="300">
        <v>0</v>
      </c>
      <c r="DO72" s="300">
        <v>0</v>
      </c>
      <c r="DP72" s="300">
        <v>0</v>
      </c>
      <c r="DQ72" s="300">
        <v>0</v>
      </c>
      <c r="DR72" s="300">
        <v>0</v>
      </c>
      <c r="DS72" s="300">
        <v>0</v>
      </c>
      <c r="DT72" s="300">
        <v>0</v>
      </c>
      <c r="DU72" s="300">
        <v>0</v>
      </c>
      <c r="DV72" s="300">
        <v>0</v>
      </c>
      <c r="DW72" s="311">
        <f t="shared" si="92"/>
        <v>338000000.00000006</v>
      </c>
      <c r="DX72" s="311">
        <f t="shared" si="92"/>
        <v>263013563.02999997</v>
      </c>
      <c r="DY72" s="311">
        <f t="shared" si="92"/>
        <v>82217092.039999992</v>
      </c>
      <c r="DZ72" s="311">
        <f t="shared" si="92"/>
        <v>77630256.039999992</v>
      </c>
      <c r="EA72" s="287"/>
    </row>
    <row r="73" spans="1:132" ht="45.75" customHeight="1" x14ac:dyDescent="0.2">
      <c r="A73" s="297" t="s">
        <v>2050</v>
      </c>
      <c r="B73" s="298"/>
      <c r="C73" s="299">
        <f t="shared" ref="C73:C74" si="96">400000000/3</f>
        <v>133333333.33333333</v>
      </c>
      <c r="D73" s="299">
        <f t="shared" ref="D73:D74" si="97">292090209.09/3</f>
        <v>97363403.029999986</v>
      </c>
      <c r="E73" s="299">
        <f t="shared" ref="E73:E74" si="98">56103456.12/3</f>
        <v>18701152.039999999</v>
      </c>
      <c r="F73" s="299">
        <f t="shared" ref="F73:F74" si="99">47190672.12/3</f>
        <v>15730224.039999999</v>
      </c>
      <c r="G73" s="299">
        <f t="shared" ref="G73:G74" si="100">454499409.46/3</f>
        <v>151499803.15333334</v>
      </c>
      <c r="H73" s="299">
        <f t="shared" ref="H73:H74" si="101">450000000/3</f>
        <v>150000000</v>
      </c>
      <c r="I73" s="299">
        <f t="shared" ref="I73:J74" si="102">180000000/3</f>
        <v>60000000</v>
      </c>
      <c r="J73" s="299">
        <f t="shared" si="102"/>
        <v>60000000</v>
      </c>
      <c r="K73" s="299">
        <v>0</v>
      </c>
      <c r="L73" s="299">
        <v>0</v>
      </c>
      <c r="M73" s="299">
        <v>0</v>
      </c>
      <c r="N73" s="299">
        <v>0</v>
      </c>
      <c r="O73" s="299">
        <v>0</v>
      </c>
      <c r="P73" s="299">
        <v>0</v>
      </c>
      <c r="Q73" s="299">
        <v>0</v>
      </c>
      <c r="R73" s="299">
        <v>0</v>
      </c>
      <c r="S73" s="299">
        <v>0</v>
      </c>
      <c r="T73" s="299">
        <v>0</v>
      </c>
      <c r="U73" s="299">
        <v>0</v>
      </c>
      <c r="V73" s="299">
        <v>0</v>
      </c>
      <c r="W73" s="299">
        <v>0</v>
      </c>
      <c r="X73" s="299">
        <v>0</v>
      </c>
      <c r="Y73" s="299">
        <v>0</v>
      </c>
      <c r="Z73" s="299">
        <v>0</v>
      </c>
      <c r="AA73" s="299">
        <f t="shared" ref="AA73:AA74" si="103">112541076.49/3</f>
        <v>37513692.163333334</v>
      </c>
      <c r="AB73" s="299">
        <f t="shared" ref="AB73:AB74" si="104">46950480/3</f>
        <v>15650160</v>
      </c>
      <c r="AC73" s="299">
        <f t="shared" ref="AC73:AC74" si="105">10547820/3</f>
        <v>3515940</v>
      </c>
      <c r="AD73" s="299">
        <f t="shared" ref="AD73:AD74" si="106">5700096/3</f>
        <v>1900032</v>
      </c>
      <c r="AE73" s="299">
        <f t="shared" ref="AE73:AE74" si="107">46883673.56/3</f>
        <v>15627891.186666667</v>
      </c>
      <c r="AF73" s="299">
        <v>0</v>
      </c>
      <c r="AG73" s="299">
        <v>0</v>
      </c>
      <c r="AH73" s="299">
        <v>0</v>
      </c>
      <c r="AI73" s="299">
        <f t="shared" ref="AI73:AI74" si="108">75840.49/3</f>
        <v>25280.163333333334</v>
      </c>
      <c r="AJ73" s="299">
        <v>0</v>
      </c>
      <c r="AK73" s="299">
        <v>0</v>
      </c>
      <c r="AL73" s="299">
        <v>0</v>
      </c>
      <c r="AM73" s="300">
        <v>0</v>
      </c>
      <c r="AN73" s="300">
        <v>0</v>
      </c>
      <c r="AO73" s="300">
        <v>0</v>
      </c>
      <c r="AP73" s="300">
        <v>0</v>
      </c>
      <c r="AQ73" s="300">
        <v>0</v>
      </c>
      <c r="AR73" s="300">
        <v>0</v>
      </c>
      <c r="AS73" s="300">
        <v>0</v>
      </c>
      <c r="AT73" s="300">
        <v>0</v>
      </c>
      <c r="AU73" s="300">
        <v>0</v>
      </c>
      <c r="AV73" s="300">
        <v>0</v>
      </c>
      <c r="AW73" s="300">
        <v>0</v>
      </c>
      <c r="AX73" s="300">
        <v>0</v>
      </c>
      <c r="AY73" s="300">
        <v>0</v>
      </c>
      <c r="AZ73" s="300">
        <v>0</v>
      </c>
      <c r="BA73" s="300">
        <v>0</v>
      </c>
      <c r="BB73" s="300">
        <v>0</v>
      </c>
      <c r="BC73" s="300">
        <v>0</v>
      </c>
      <c r="BD73" s="300">
        <v>0</v>
      </c>
      <c r="BE73" s="300">
        <v>0</v>
      </c>
      <c r="BF73" s="300">
        <v>0</v>
      </c>
      <c r="BG73" s="300">
        <v>0</v>
      </c>
      <c r="BH73" s="300">
        <v>0</v>
      </c>
      <c r="BI73" s="300">
        <v>0</v>
      </c>
      <c r="BJ73" s="300">
        <v>0</v>
      </c>
      <c r="BK73" s="300">
        <v>0</v>
      </c>
      <c r="BL73" s="300">
        <v>0</v>
      </c>
      <c r="BM73" s="300">
        <v>0</v>
      </c>
      <c r="BN73" s="300">
        <v>0</v>
      </c>
      <c r="BO73" s="300">
        <v>0</v>
      </c>
      <c r="BP73" s="300">
        <v>0</v>
      </c>
      <c r="BQ73" s="300">
        <v>0</v>
      </c>
      <c r="BR73" s="300">
        <v>0</v>
      </c>
      <c r="BS73" s="300">
        <v>0</v>
      </c>
      <c r="BT73" s="300">
        <v>0</v>
      </c>
      <c r="BU73" s="300">
        <v>0</v>
      </c>
      <c r="BV73" s="300">
        <v>0</v>
      </c>
      <c r="BW73" s="300">
        <v>0</v>
      </c>
      <c r="BX73" s="300">
        <v>0</v>
      </c>
      <c r="BY73" s="300">
        <v>0</v>
      </c>
      <c r="BZ73" s="300">
        <v>0</v>
      </c>
      <c r="CA73" s="300">
        <v>0</v>
      </c>
      <c r="CB73" s="300">
        <v>0</v>
      </c>
      <c r="CC73" s="300">
        <v>0</v>
      </c>
      <c r="CD73" s="300">
        <v>0</v>
      </c>
      <c r="CE73" s="300">
        <v>0</v>
      </c>
      <c r="CF73" s="300">
        <v>0</v>
      </c>
      <c r="CG73" s="300">
        <v>0</v>
      </c>
      <c r="CH73" s="300">
        <v>0</v>
      </c>
      <c r="CI73" s="300">
        <v>0</v>
      </c>
      <c r="CJ73" s="300">
        <v>0</v>
      </c>
      <c r="CK73" s="300">
        <v>0</v>
      </c>
      <c r="CL73" s="300">
        <v>0</v>
      </c>
      <c r="CM73" s="300">
        <v>0</v>
      </c>
      <c r="CN73" s="300">
        <v>0</v>
      </c>
      <c r="CO73" s="300">
        <v>0</v>
      </c>
      <c r="CP73" s="300">
        <v>0</v>
      </c>
      <c r="CQ73" s="300">
        <v>0</v>
      </c>
      <c r="CR73" s="300">
        <v>0</v>
      </c>
      <c r="CS73" s="300">
        <v>0</v>
      </c>
      <c r="CT73" s="300">
        <v>0</v>
      </c>
      <c r="CU73" s="300">
        <v>0</v>
      </c>
      <c r="CV73" s="300">
        <v>0</v>
      </c>
      <c r="CW73" s="300">
        <v>0</v>
      </c>
      <c r="CX73" s="300">
        <v>0</v>
      </c>
      <c r="CY73" s="300">
        <v>0</v>
      </c>
      <c r="CZ73" s="300">
        <v>0</v>
      </c>
      <c r="DA73" s="300">
        <v>0</v>
      </c>
      <c r="DB73" s="300">
        <v>0</v>
      </c>
      <c r="DC73" s="300">
        <v>0</v>
      </c>
      <c r="DD73" s="300">
        <v>0</v>
      </c>
      <c r="DE73" s="300">
        <v>0</v>
      </c>
      <c r="DF73" s="300">
        <v>0</v>
      </c>
      <c r="DG73" s="300">
        <v>0</v>
      </c>
      <c r="DH73" s="300">
        <v>0</v>
      </c>
      <c r="DI73" s="300">
        <v>0</v>
      </c>
      <c r="DJ73" s="300">
        <v>0</v>
      </c>
      <c r="DK73" s="300">
        <v>0</v>
      </c>
      <c r="DL73" s="300">
        <v>0</v>
      </c>
      <c r="DM73" s="300">
        <v>0</v>
      </c>
      <c r="DN73" s="300">
        <v>0</v>
      </c>
      <c r="DO73" s="300">
        <v>0</v>
      </c>
      <c r="DP73" s="300">
        <v>0</v>
      </c>
      <c r="DQ73" s="300">
        <v>0</v>
      </c>
      <c r="DR73" s="300">
        <v>0</v>
      </c>
      <c r="DS73" s="300">
        <v>0</v>
      </c>
      <c r="DT73" s="300">
        <v>0</v>
      </c>
      <c r="DU73" s="300">
        <v>0</v>
      </c>
      <c r="DV73" s="300">
        <v>0</v>
      </c>
      <c r="DW73" s="311">
        <f t="shared" si="92"/>
        <v>338000000.00000006</v>
      </c>
      <c r="DX73" s="311">
        <f t="shared" si="92"/>
        <v>263013563.02999997</v>
      </c>
      <c r="DY73" s="311">
        <f t="shared" si="92"/>
        <v>82217092.039999992</v>
      </c>
      <c r="DZ73" s="311">
        <f t="shared" si="92"/>
        <v>77630256.039999992</v>
      </c>
      <c r="EA73" s="287"/>
    </row>
    <row r="74" spans="1:132" ht="45.75" customHeight="1" x14ac:dyDescent="0.2">
      <c r="A74" s="297" t="s">
        <v>2051</v>
      </c>
      <c r="B74" s="301"/>
      <c r="C74" s="299">
        <f t="shared" si="96"/>
        <v>133333333.33333333</v>
      </c>
      <c r="D74" s="299">
        <f t="shared" si="97"/>
        <v>97363403.029999986</v>
      </c>
      <c r="E74" s="299">
        <f t="shared" si="98"/>
        <v>18701152.039999999</v>
      </c>
      <c r="F74" s="299">
        <f t="shared" si="99"/>
        <v>15730224.039999999</v>
      </c>
      <c r="G74" s="299">
        <f t="shared" si="100"/>
        <v>151499803.15333334</v>
      </c>
      <c r="H74" s="299">
        <f t="shared" si="101"/>
        <v>150000000</v>
      </c>
      <c r="I74" s="299">
        <f t="shared" si="102"/>
        <v>60000000</v>
      </c>
      <c r="J74" s="299">
        <f t="shared" si="102"/>
        <v>60000000</v>
      </c>
      <c r="K74" s="299">
        <v>0</v>
      </c>
      <c r="L74" s="299">
        <v>0</v>
      </c>
      <c r="M74" s="299">
        <v>0</v>
      </c>
      <c r="N74" s="299">
        <v>0</v>
      </c>
      <c r="O74" s="299">
        <v>0</v>
      </c>
      <c r="P74" s="299">
        <v>0</v>
      </c>
      <c r="Q74" s="299">
        <v>0</v>
      </c>
      <c r="R74" s="299">
        <v>0</v>
      </c>
      <c r="S74" s="299">
        <v>0</v>
      </c>
      <c r="T74" s="299">
        <v>0</v>
      </c>
      <c r="U74" s="299">
        <v>0</v>
      </c>
      <c r="V74" s="299">
        <v>0</v>
      </c>
      <c r="W74" s="299">
        <v>0</v>
      </c>
      <c r="X74" s="299">
        <v>0</v>
      </c>
      <c r="Y74" s="299">
        <v>0</v>
      </c>
      <c r="Z74" s="299">
        <v>0</v>
      </c>
      <c r="AA74" s="299">
        <f t="shared" si="103"/>
        <v>37513692.163333334</v>
      </c>
      <c r="AB74" s="299">
        <f t="shared" si="104"/>
        <v>15650160</v>
      </c>
      <c r="AC74" s="299">
        <f t="shared" si="105"/>
        <v>3515940</v>
      </c>
      <c r="AD74" s="299">
        <f t="shared" si="106"/>
        <v>1900032</v>
      </c>
      <c r="AE74" s="299">
        <f t="shared" si="107"/>
        <v>15627891.186666667</v>
      </c>
      <c r="AF74" s="299">
        <v>0</v>
      </c>
      <c r="AG74" s="299">
        <v>0</v>
      </c>
      <c r="AH74" s="299">
        <v>0</v>
      </c>
      <c r="AI74" s="299">
        <f t="shared" si="108"/>
        <v>25280.163333333334</v>
      </c>
      <c r="AJ74" s="299">
        <v>0</v>
      </c>
      <c r="AK74" s="299">
        <v>0</v>
      </c>
      <c r="AL74" s="299">
        <v>0</v>
      </c>
      <c r="AM74" s="300">
        <v>0</v>
      </c>
      <c r="AN74" s="300">
        <v>0</v>
      </c>
      <c r="AO74" s="300">
        <v>0</v>
      </c>
      <c r="AP74" s="300">
        <v>0</v>
      </c>
      <c r="AQ74" s="300">
        <v>0</v>
      </c>
      <c r="AR74" s="300">
        <v>0</v>
      </c>
      <c r="AS74" s="300">
        <v>0</v>
      </c>
      <c r="AT74" s="300">
        <v>0</v>
      </c>
      <c r="AU74" s="300">
        <v>0</v>
      </c>
      <c r="AV74" s="300">
        <v>0</v>
      </c>
      <c r="AW74" s="300">
        <v>0</v>
      </c>
      <c r="AX74" s="300">
        <v>0</v>
      </c>
      <c r="AY74" s="300">
        <v>0</v>
      </c>
      <c r="AZ74" s="300">
        <v>0</v>
      </c>
      <c r="BA74" s="300">
        <v>0</v>
      </c>
      <c r="BB74" s="300">
        <v>0</v>
      </c>
      <c r="BC74" s="300">
        <v>0</v>
      </c>
      <c r="BD74" s="300">
        <v>0</v>
      </c>
      <c r="BE74" s="300">
        <v>0</v>
      </c>
      <c r="BF74" s="300">
        <v>0</v>
      </c>
      <c r="BG74" s="300">
        <v>0</v>
      </c>
      <c r="BH74" s="300">
        <v>0</v>
      </c>
      <c r="BI74" s="300">
        <v>0</v>
      </c>
      <c r="BJ74" s="300">
        <v>0</v>
      </c>
      <c r="BK74" s="300">
        <v>0</v>
      </c>
      <c r="BL74" s="300">
        <v>0</v>
      </c>
      <c r="BM74" s="300">
        <v>0</v>
      </c>
      <c r="BN74" s="300">
        <v>0</v>
      </c>
      <c r="BO74" s="300">
        <v>0</v>
      </c>
      <c r="BP74" s="300">
        <v>0</v>
      </c>
      <c r="BQ74" s="300">
        <v>0</v>
      </c>
      <c r="BR74" s="300">
        <v>0</v>
      </c>
      <c r="BS74" s="300">
        <v>0</v>
      </c>
      <c r="BT74" s="300">
        <v>0</v>
      </c>
      <c r="BU74" s="300">
        <v>0</v>
      </c>
      <c r="BV74" s="300">
        <v>0</v>
      </c>
      <c r="BW74" s="300">
        <v>0</v>
      </c>
      <c r="BX74" s="300">
        <v>0</v>
      </c>
      <c r="BY74" s="300">
        <v>0</v>
      </c>
      <c r="BZ74" s="300">
        <v>0</v>
      </c>
      <c r="CA74" s="300">
        <v>0</v>
      </c>
      <c r="CB74" s="300">
        <v>0</v>
      </c>
      <c r="CC74" s="300">
        <v>0</v>
      </c>
      <c r="CD74" s="300">
        <v>0</v>
      </c>
      <c r="CE74" s="300">
        <v>0</v>
      </c>
      <c r="CF74" s="300">
        <v>0</v>
      </c>
      <c r="CG74" s="300">
        <v>0</v>
      </c>
      <c r="CH74" s="300">
        <v>0</v>
      </c>
      <c r="CI74" s="300">
        <v>0</v>
      </c>
      <c r="CJ74" s="300">
        <v>0</v>
      </c>
      <c r="CK74" s="300">
        <v>0</v>
      </c>
      <c r="CL74" s="300">
        <v>0</v>
      </c>
      <c r="CM74" s="300">
        <v>0</v>
      </c>
      <c r="CN74" s="300">
        <v>0</v>
      </c>
      <c r="CO74" s="300">
        <v>0</v>
      </c>
      <c r="CP74" s="300">
        <v>0</v>
      </c>
      <c r="CQ74" s="300">
        <v>0</v>
      </c>
      <c r="CR74" s="300">
        <v>0</v>
      </c>
      <c r="CS74" s="300">
        <v>0</v>
      </c>
      <c r="CT74" s="300">
        <v>0</v>
      </c>
      <c r="CU74" s="300">
        <v>0</v>
      </c>
      <c r="CV74" s="300">
        <v>0</v>
      </c>
      <c r="CW74" s="300">
        <v>0</v>
      </c>
      <c r="CX74" s="300">
        <v>0</v>
      </c>
      <c r="CY74" s="300">
        <v>0</v>
      </c>
      <c r="CZ74" s="300">
        <v>0</v>
      </c>
      <c r="DA74" s="300">
        <v>0</v>
      </c>
      <c r="DB74" s="300">
        <v>0</v>
      </c>
      <c r="DC74" s="300">
        <v>0</v>
      </c>
      <c r="DD74" s="300">
        <v>0</v>
      </c>
      <c r="DE74" s="300">
        <v>0</v>
      </c>
      <c r="DF74" s="300">
        <v>0</v>
      </c>
      <c r="DG74" s="300">
        <v>0</v>
      </c>
      <c r="DH74" s="300">
        <v>0</v>
      </c>
      <c r="DI74" s="300">
        <v>0</v>
      </c>
      <c r="DJ74" s="300">
        <v>0</v>
      </c>
      <c r="DK74" s="300">
        <v>0</v>
      </c>
      <c r="DL74" s="300">
        <v>0</v>
      </c>
      <c r="DM74" s="300">
        <v>0</v>
      </c>
      <c r="DN74" s="300">
        <v>0</v>
      </c>
      <c r="DO74" s="300">
        <v>0</v>
      </c>
      <c r="DP74" s="300">
        <v>0</v>
      </c>
      <c r="DQ74" s="300">
        <v>0</v>
      </c>
      <c r="DR74" s="300">
        <v>0</v>
      </c>
      <c r="DS74" s="300">
        <v>0</v>
      </c>
      <c r="DT74" s="300">
        <v>0</v>
      </c>
      <c r="DU74" s="300">
        <v>0</v>
      </c>
      <c r="DV74" s="300">
        <v>0</v>
      </c>
      <c r="DW74" s="311">
        <f t="shared" si="92"/>
        <v>338000000.00000006</v>
      </c>
      <c r="DX74" s="311">
        <f t="shared" si="92"/>
        <v>263013563.02999997</v>
      </c>
      <c r="DY74" s="311">
        <f t="shared" si="92"/>
        <v>82217092.039999992</v>
      </c>
      <c r="DZ74" s="311">
        <f t="shared" si="92"/>
        <v>77630256.039999992</v>
      </c>
      <c r="EA74" s="302">
        <f>+SUM(DW72:DW74)-B72</f>
        <v>0</v>
      </c>
    </row>
    <row r="75" spans="1:132" ht="45.75" customHeight="1" x14ac:dyDescent="0.2">
      <c r="A75" s="303" t="s">
        <v>2052</v>
      </c>
      <c r="B75" s="290">
        <f>SUM(B76:B82)</f>
        <v>1329999999.9999998</v>
      </c>
      <c r="C75" s="290">
        <f t="shared" ref="C75:DV75" si="109">SUM(C76:C82)</f>
        <v>649999999.99999988</v>
      </c>
      <c r="D75" s="290">
        <f t="shared" si="109"/>
        <v>511653698.99999988</v>
      </c>
      <c r="E75" s="290">
        <f t="shared" si="109"/>
        <v>179798847</v>
      </c>
      <c r="F75" s="290">
        <f t="shared" si="109"/>
        <v>148777879</v>
      </c>
      <c r="G75" s="290">
        <f>SUM(G76:G82)</f>
        <v>137361137.00999999</v>
      </c>
      <c r="H75" s="290">
        <f>SUM(H76:H82)</f>
        <v>88071440</v>
      </c>
      <c r="I75" s="290">
        <f t="shared" si="109"/>
        <v>21717395.999999996</v>
      </c>
      <c r="J75" s="290">
        <f t="shared" si="109"/>
        <v>11049155.999999998</v>
      </c>
      <c r="K75" s="290">
        <f t="shared" si="109"/>
        <v>22126437.359999999</v>
      </c>
      <c r="L75" s="290">
        <f t="shared" si="109"/>
        <v>6507062.6399999987</v>
      </c>
      <c r="M75" s="290">
        <f t="shared" si="109"/>
        <v>2799720</v>
      </c>
      <c r="N75" s="290">
        <f t="shared" si="109"/>
        <v>2799720</v>
      </c>
      <c r="O75" s="290">
        <f t="shared" si="109"/>
        <v>22163015</v>
      </c>
      <c r="P75" s="290">
        <f t="shared" si="109"/>
        <v>22126437.359999999</v>
      </c>
      <c r="Q75" s="290">
        <f t="shared" si="109"/>
        <v>0</v>
      </c>
      <c r="R75" s="290">
        <f t="shared" si="109"/>
        <v>0</v>
      </c>
      <c r="S75" s="290">
        <f t="shared" si="109"/>
        <v>88787681.050000012</v>
      </c>
      <c r="T75" s="290">
        <f t="shared" si="109"/>
        <v>38482560</v>
      </c>
      <c r="U75" s="290">
        <f t="shared" si="109"/>
        <v>8498142</v>
      </c>
      <c r="V75" s="290">
        <f t="shared" si="109"/>
        <v>8498142</v>
      </c>
      <c r="W75" s="290">
        <f t="shared" si="109"/>
        <v>324561729.57999992</v>
      </c>
      <c r="X75" s="290">
        <f t="shared" si="109"/>
        <v>83550027.300000012</v>
      </c>
      <c r="Y75" s="290">
        <f t="shared" si="109"/>
        <v>16454291.999999996</v>
      </c>
      <c r="Z75" s="290">
        <f t="shared" si="109"/>
        <v>11110452.000000002</v>
      </c>
      <c r="AA75" s="290">
        <f t="shared" si="109"/>
        <v>0</v>
      </c>
      <c r="AB75" s="290">
        <f t="shared" si="109"/>
        <v>0</v>
      </c>
      <c r="AC75" s="290">
        <f t="shared" si="109"/>
        <v>0</v>
      </c>
      <c r="AD75" s="290">
        <f t="shared" si="109"/>
        <v>0</v>
      </c>
      <c r="AE75" s="290">
        <f t="shared" si="109"/>
        <v>0</v>
      </c>
      <c r="AF75" s="290">
        <f t="shared" si="109"/>
        <v>0</v>
      </c>
      <c r="AG75" s="290">
        <f t="shared" si="109"/>
        <v>0</v>
      </c>
      <c r="AH75" s="290">
        <f t="shared" si="109"/>
        <v>0</v>
      </c>
      <c r="AI75" s="290">
        <f t="shared" si="109"/>
        <v>0</v>
      </c>
      <c r="AJ75" s="290">
        <f t="shared" si="109"/>
        <v>0</v>
      </c>
      <c r="AK75" s="290">
        <f t="shared" si="109"/>
        <v>0</v>
      </c>
      <c r="AL75" s="290">
        <f t="shared" si="109"/>
        <v>0</v>
      </c>
      <c r="AM75" s="290">
        <f t="shared" si="109"/>
        <v>0</v>
      </c>
      <c r="AN75" s="290">
        <f t="shared" si="109"/>
        <v>0</v>
      </c>
      <c r="AO75" s="290">
        <f t="shared" si="109"/>
        <v>0</v>
      </c>
      <c r="AP75" s="290">
        <f t="shared" si="109"/>
        <v>0</v>
      </c>
      <c r="AQ75" s="290">
        <f t="shared" si="109"/>
        <v>0</v>
      </c>
      <c r="AR75" s="290">
        <f t="shared" si="109"/>
        <v>0</v>
      </c>
      <c r="AS75" s="290">
        <f t="shared" si="109"/>
        <v>0</v>
      </c>
      <c r="AT75" s="290">
        <f t="shared" si="109"/>
        <v>0</v>
      </c>
      <c r="AU75" s="290">
        <f t="shared" si="109"/>
        <v>0</v>
      </c>
      <c r="AV75" s="290">
        <f t="shared" si="109"/>
        <v>0</v>
      </c>
      <c r="AW75" s="290">
        <f t="shared" si="109"/>
        <v>0</v>
      </c>
      <c r="AX75" s="290">
        <f t="shared" si="109"/>
        <v>0</v>
      </c>
      <c r="AY75" s="290">
        <f t="shared" si="109"/>
        <v>0</v>
      </c>
      <c r="AZ75" s="290">
        <f t="shared" si="109"/>
        <v>0</v>
      </c>
      <c r="BA75" s="290">
        <f t="shared" si="109"/>
        <v>0</v>
      </c>
      <c r="BB75" s="290">
        <f t="shared" si="109"/>
        <v>0</v>
      </c>
      <c r="BC75" s="290">
        <f t="shared" si="109"/>
        <v>0</v>
      </c>
      <c r="BD75" s="290">
        <f t="shared" si="109"/>
        <v>0</v>
      </c>
      <c r="BE75" s="290">
        <f t="shared" si="109"/>
        <v>0</v>
      </c>
      <c r="BF75" s="290">
        <f t="shared" si="109"/>
        <v>0</v>
      </c>
      <c r="BG75" s="290">
        <f t="shared" si="109"/>
        <v>0</v>
      </c>
      <c r="BH75" s="290">
        <f t="shared" si="109"/>
        <v>0</v>
      </c>
      <c r="BI75" s="290">
        <f t="shared" si="109"/>
        <v>0</v>
      </c>
      <c r="BJ75" s="290">
        <f t="shared" si="109"/>
        <v>0</v>
      </c>
      <c r="BK75" s="290">
        <f t="shared" si="109"/>
        <v>0</v>
      </c>
      <c r="BL75" s="290">
        <f t="shared" si="109"/>
        <v>0</v>
      </c>
      <c r="BM75" s="290">
        <f t="shared" si="109"/>
        <v>0</v>
      </c>
      <c r="BN75" s="290">
        <f t="shared" si="109"/>
        <v>0</v>
      </c>
      <c r="BO75" s="290">
        <f t="shared" si="109"/>
        <v>0</v>
      </c>
      <c r="BP75" s="290">
        <f t="shared" si="109"/>
        <v>0</v>
      </c>
      <c r="BQ75" s="290">
        <f t="shared" si="109"/>
        <v>0</v>
      </c>
      <c r="BR75" s="290">
        <f t="shared" si="109"/>
        <v>0</v>
      </c>
      <c r="BS75" s="290">
        <f t="shared" si="109"/>
        <v>0</v>
      </c>
      <c r="BT75" s="290">
        <f t="shared" si="109"/>
        <v>0</v>
      </c>
      <c r="BU75" s="290">
        <f t="shared" si="109"/>
        <v>0</v>
      </c>
      <c r="BV75" s="290">
        <f t="shared" si="109"/>
        <v>0</v>
      </c>
      <c r="BW75" s="290">
        <f t="shared" si="109"/>
        <v>0</v>
      </c>
      <c r="BX75" s="290">
        <f t="shared" si="109"/>
        <v>0</v>
      </c>
      <c r="BY75" s="290">
        <f t="shared" si="109"/>
        <v>0</v>
      </c>
      <c r="BZ75" s="290">
        <f t="shared" si="109"/>
        <v>0</v>
      </c>
      <c r="CA75" s="290">
        <f t="shared" si="109"/>
        <v>0</v>
      </c>
      <c r="CB75" s="290">
        <f t="shared" si="109"/>
        <v>0</v>
      </c>
      <c r="CC75" s="290">
        <f t="shared" si="109"/>
        <v>0</v>
      </c>
      <c r="CD75" s="290">
        <f t="shared" si="109"/>
        <v>0</v>
      </c>
      <c r="CE75" s="290">
        <f t="shared" si="109"/>
        <v>0</v>
      </c>
      <c r="CF75" s="290">
        <f t="shared" si="109"/>
        <v>0</v>
      </c>
      <c r="CG75" s="290">
        <f t="shared" si="109"/>
        <v>0</v>
      </c>
      <c r="CH75" s="290">
        <f t="shared" si="109"/>
        <v>0</v>
      </c>
      <c r="CI75" s="290">
        <f t="shared" si="109"/>
        <v>0</v>
      </c>
      <c r="CJ75" s="290">
        <f t="shared" si="109"/>
        <v>0</v>
      </c>
      <c r="CK75" s="290">
        <f t="shared" si="109"/>
        <v>0</v>
      </c>
      <c r="CL75" s="290">
        <f t="shared" si="109"/>
        <v>0</v>
      </c>
      <c r="CM75" s="290">
        <f t="shared" si="109"/>
        <v>0</v>
      </c>
      <c r="CN75" s="290">
        <f t="shared" si="109"/>
        <v>0</v>
      </c>
      <c r="CO75" s="290">
        <f t="shared" si="109"/>
        <v>0</v>
      </c>
      <c r="CP75" s="290">
        <f t="shared" si="109"/>
        <v>0</v>
      </c>
      <c r="CQ75" s="290">
        <f t="shared" si="109"/>
        <v>0</v>
      </c>
      <c r="CR75" s="290">
        <f t="shared" si="109"/>
        <v>0</v>
      </c>
      <c r="CS75" s="290">
        <f t="shared" si="109"/>
        <v>0</v>
      </c>
      <c r="CT75" s="290">
        <f t="shared" si="109"/>
        <v>0</v>
      </c>
      <c r="CU75" s="290">
        <f t="shared" si="109"/>
        <v>0</v>
      </c>
      <c r="CV75" s="290">
        <f t="shared" si="109"/>
        <v>0</v>
      </c>
      <c r="CW75" s="290">
        <f t="shared" si="109"/>
        <v>0</v>
      </c>
      <c r="CX75" s="290">
        <f t="shared" si="109"/>
        <v>0</v>
      </c>
      <c r="CY75" s="290">
        <f t="shared" si="109"/>
        <v>0</v>
      </c>
      <c r="CZ75" s="290">
        <f t="shared" si="109"/>
        <v>0</v>
      </c>
      <c r="DA75" s="290">
        <f t="shared" si="109"/>
        <v>0</v>
      </c>
      <c r="DB75" s="290">
        <f t="shared" si="109"/>
        <v>0</v>
      </c>
      <c r="DC75" s="290">
        <f t="shared" si="109"/>
        <v>0</v>
      </c>
      <c r="DD75" s="290">
        <f t="shared" si="109"/>
        <v>0</v>
      </c>
      <c r="DE75" s="290">
        <f t="shared" si="109"/>
        <v>0</v>
      </c>
      <c r="DF75" s="290">
        <f t="shared" si="109"/>
        <v>0</v>
      </c>
      <c r="DG75" s="290">
        <f t="shared" si="109"/>
        <v>0</v>
      </c>
      <c r="DH75" s="290">
        <f t="shared" si="109"/>
        <v>0</v>
      </c>
      <c r="DI75" s="290">
        <f t="shared" si="109"/>
        <v>0</v>
      </c>
      <c r="DJ75" s="290">
        <f t="shared" si="109"/>
        <v>0</v>
      </c>
      <c r="DK75" s="290">
        <f t="shared" si="109"/>
        <v>0</v>
      </c>
      <c r="DL75" s="290">
        <f t="shared" si="109"/>
        <v>0</v>
      </c>
      <c r="DM75" s="290">
        <f t="shared" si="109"/>
        <v>0</v>
      </c>
      <c r="DN75" s="290">
        <f t="shared" si="109"/>
        <v>0</v>
      </c>
      <c r="DO75" s="290">
        <f t="shared" si="109"/>
        <v>0</v>
      </c>
      <c r="DP75" s="290">
        <f t="shared" si="109"/>
        <v>0</v>
      </c>
      <c r="DQ75" s="290">
        <f t="shared" si="109"/>
        <v>0</v>
      </c>
      <c r="DR75" s="290">
        <f t="shared" si="109"/>
        <v>0</v>
      </c>
      <c r="DS75" s="290">
        <f t="shared" si="109"/>
        <v>85000000.000000015</v>
      </c>
      <c r="DT75" s="290">
        <f t="shared" si="109"/>
        <v>0</v>
      </c>
      <c r="DU75" s="290">
        <f t="shared" si="109"/>
        <v>0</v>
      </c>
      <c r="DV75" s="290">
        <f t="shared" si="109"/>
        <v>0</v>
      </c>
      <c r="DW75" s="286">
        <f t="shared" si="92"/>
        <v>1329999999.9999998</v>
      </c>
      <c r="DX75" s="286">
        <f t="shared" si="92"/>
        <v>750391226.29999995</v>
      </c>
      <c r="DY75" s="286">
        <f t="shared" si="92"/>
        <v>229268397</v>
      </c>
      <c r="DZ75" s="286">
        <f t="shared" si="92"/>
        <v>182235349</v>
      </c>
      <c r="EA75" s="291">
        <f>+SUM(DW76:DW82)-B75</f>
        <v>0</v>
      </c>
      <c r="EB75" s="292">
        <f>+DW75-B75</f>
        <v>0</v>
      </c>
    </row>
    <row r="76" spans="1:132" ht="45.75" customHeight="1" x14ac:dyDescent="0.2">
      <c r="A76" s="297" t="s">
        <v>2053</v>
      </c>
      <c r="B76" s="294">
        <f>DW75</f>
        <v>1329999999.9999998</v>
      </c>
      <c r="C76" s="299">
        <f>650000000/7</f>
        <v>92857142.857142851</v>
      </c>
      <c r="D76" s="299">
        <f>511653699/7</f>
        <v>73093385.571428567</v>
      </c>
      <c r="E76" s="299">
        <f>179798847/7</f>
        <v>25685549.571428571</v>
      </c>
      <c r="F76" s="299">
        <f>148777879/7</f>
        <v>21253982.714285713</v>
      </c>
      <c r="G76" s="299">
        <f>137361137.01/7</f>
        <v>19623019.572857141</v>
      </c>
      <c r="H76" s="299">
        <f>88071440/7</f>
        <v>12581634.285714285</v>
      </c>
      <c r="I76" s="299">
        <f>21717396/7</f>
        <v>3102485.1428571427</v>
      </c>
      <c r="J76" s="299">
        <f>11049156/7</f>
        <v>1578450.857142857</v>
      </c>
      <c r="K76" s="299">
        <f>22126437.36/7</f>
        <v>3160919.6228571427</v>
      </c>
      <c r="L76" s="299">
        <f>6507062.64/7</f>
        <v>929580.37714285706</v>
      </c>
      <c r="M76" s="299">
        <f>2799720/7</f>
        <v>399960</v>
      </c>
      <c r="N76" s="299">
        <f>2799720/7</f>
        <v>399960</v>
      </c>
      <c r="O76" s="299">
        <f>22163015/7</f>
        <v>3166145</v>
      </c>
      <c r="P76" s="299">
        <f>22126437.36/7</f>
        <v>3160919.6228571427</v>
      </c>
      <c r="Q76" s="299">
        <v>0</v>
      </c>
      <c r="R76" s="299">
        <v>0</v>
      </c>
      <c r="S76" s="299">
        <f>88787681.05/7</f>
        <v>12683954.435714286</v>
      </c>
      <c r="T76" s="299">
        <f>38482560/7</f>
        <v>5497508.5714285718</v>
      </c>
      <c r="U76" s="299">
        <f>8498142/7</f>
        <v>1214020.2857142857</v>
      </c>
      <c r="V76" s="299">
        <f>8498142/7</f>
        <v>1214020.2857142857</v>
      </c>
      <c r="W76" s="299">
        <f>324561729.58/7</f>
        <v>46365961.368571423</v>
      </c>
      <c r="X76" s="299">
        <f>83550027.3/7</f>
        <v>11935718.185714286</v>
      </c>
      <c r="Y76" s="299">
        <f>16454292/7</f>
        <v>2350613.1428571427</v>
      </c>
      <c r="Z76" s="299">
        <f>11110452/7</f>
        <v>1587207.4285714286</v>
      </c>
      <c r="AA76" s="299">
        <v>0</v>
      </c>
      <c r="AB76" s="299">
        <v>0</v>
      </c>
      <c r="AC76" s="299">
        <v>0</v>
      </c>
      <c r="AD76" s="299">
        <v>0</v>
      </c>
      <c r="AE76" s="299">
        <v>0</v>
      </c>
      <c r="AF76" s="299">
        <v>0</v>
      </c>
      <c r="AG76" s="299">
        <v>0</v>
      </c>
      <c r="AH76" s="299">
        <v>0</v>
      </c>
      <c r="AI76" s="299">
        <v>0</v>
      </c>
      <c r="AJ76" s="299">
        <v>0</v>
      </c>
      <c r="AK76" s="299">
        <v>0</v>
      </c>
      <c r="AL76" s="299">
        <v>0</v>
      </c>
      <c r="AM76" s="300">
        <v>0</v>
      </c>
      <c r="AN76" s="300">
        <v>0</v>
      </c>
      <c r="AO76" s="300">
        <v>0</v>
      </c>
      <c r="AP76" s="300">
        <v>0</v>
      </c>
      <c r="AQ76" s="300">
        <v>0</v>
      </c>
      <c r="AR76" s="300">
        <v>0</v>
      </c>
      <c r="AS76" s="300">
        <v>0</v>
      </c>
      <c r="AT76" s="300">
        <v>0</v>
      </c>
      <c r="AU76" s="300">
        <v>0</v>
      </c>
      <c r="AV76" s="300">
        <v>0</v>
      </c>
      <c r="AW76" s="300">
        <v>0</v>
      </c>
      <c r="AX76" s="300">
        <v>0</v>
      </c>
      <c r="AY76" s="300">
        <v>0</v>
      </c>
      <c r="AZ76" s="300">
        <v>0</v>
      </c>
      <c r="BA76" s="300">
        <v>0</v>
      </c>
      <c r="BB76" s="300">
        <v>0</v>
      </c>
      <c r="BC76" s="300">
        <v>0</v>
      </c>
      <c r="BD76" s="300">
        <v>0</v>
      </c>
      <c r="BE76" s="300">
        <v>0</v>
      </c>
      <c r="BF76" s="300">
        <v>0</v>
      </c>
      <c r="BG76" s="300">
        <v>0</v>
      </c>
      <c r="BH76" s="300">
        <v>0</v>
      </c>
      <c r="BI76" s="300">
        <v>0</v>
      </c>
      <c r="BJ76" s="300">
        <v>0</v>
      </c>
      <c r="BK76" s="299">
        <v>0</v>
      </c>
      <c r="BL76" s="299">
        <v>0</v>
      </c>
      <c r="BM76" s="299">
        <v>0</v>
      </c>
      <c r="BN76" s="299">
        <v>0</v>
      </c>
      <c r="BO76" s="300">
        <v>0</v>
      </c>
      <c r="BP76" s="300">
        <v>0</v>
      </c>
      <c r="BQ76" s="300">
        <v>0</v>
      </c>
      <c r="BR76" s="300">
        <v>0</v>
      </c>
      <c r="BS76" s="300">
        <v>0</v>
      </c>
      <c r="BT76" s="300">
        <v>0</v>
      </c>
      <c r="BU76" s="300">
        <v>0</v>
      </c>
      <c r="BV76" s="300">
        <v>0</v>
      </c>
      <c r="BW76" s="300">
        <v>0</v>
      </c>
      <c r="BX76" s="300">
        <v>0</v>
      </c>
      <c r="BY76" s="300">
        <v>0</v>
      </c>
      <c r="BZ76" s="300">
        <v>0</v>
      </c>
      <c r="CA76" s="300">
        <v>0</v>
      </c>
      <c r="CB76" s="300">
        <v>0</v>
      </c>
      <c r="CC76" s="300">
        <v>0</v>
      </c>
      <c r="CD76" s="300">
        <v>0</v>
      </c>
      <c r="CE76" s="300">
        <v>0</v>
      </c>
      <c r="CF76" s="300">
        <v>0</v>
      </c>
      <c r="CG76" s="300">
        <v>0</v>
      </c>
      <c r="CH76" s="300">
        <v>0</v>
      </c>
      <c r="CI76" s="300">
        <v>0</v>
      </c>
      <c r="CJ76" s="300">
        <v>0</v>
      </c>
      <c r="CK76" s="300">
        <v>0</v>
      </c>
      <c r="CL76" s="300">
        <v>0</v>
      </c>
      <c r="CM76" s="300">
        <v>0</v>
      </c>
      <c r="CN76" s="300">
        <v>0</v>
      </c>
      <c r="CO76" s="300">
        <v>0</v>
      </c>
      <c r="CP76" s="300">
        <v>0</v>
      </c>
      <c r="CQ76" s="300">
        <v>0</v>
      </c>
      <c r="CR76" s="300">
        <v>0</v>
      </c>
      <c r="CS76" s="300">
        <v>0</v>
      </c>
      <c r="CT76" s="300">
        <v>0</v>
      </c>
      <c r="CU76" s="300">
        <v>0</v>
      </c>
      <c r="CV76" s="300">
        <v>0</v>
      </c>
      <c r="CW76" s="300">
        <v>0</v>
      </c>
      <c r="CX76" s="300">
        <v>0</v>
      </c>
      <c r="CY76" s="300">
        <v>0</v>
      </c>
      <c r="CZ76" s="300">
        <v>0</v>
      </c>
      <c r="DA76" s="300">
        <v>0</v>
      </c>
      <c r="DB76" s="300">
        <v>0</v>
      </c>
      <c r="DC76" s="300">
        <v>0</v>
      </c>
      <c r="DD76" s="300">
        <v>0</v>
      </c>
      <c r="DE76" s="300">
        <v>0</v>
      </c>
      <c r="DF76" s="300">
        <v>0</v>
      </c>
      <c r="DG76" s="300">
        <v>0</v>
      </c>
      <c r="DH76" s="300">
        <v>0</v>
      </c>
      <c r="DI76" s="300">
        <v>0</v>
      </c>
      <c r="DJ76" s="300">
        <v>0</v>
      </c>
      <c r="DK76" s="300">
        <v>0</v>
      </c>
      <c r="DL76" s="300">
        <v>0</v>
      </c>
      <c r="DM76" s="300">
        <v>0</v>
      </c>
      <c r="DN76" s="300">
        <v>0</v>
      </c>
      <c r="DO76" s="300">
        <v>0</v>
      </c>
      <c r="DP76" s="300">
        <v>0</v>
      </c>
      <c r="DQ76" s="300">
        <v>0</v>
      </c>
      <c r="DR76" s="300">
        <v>0</v>
      </c>
      <c r="DS76" s="300">
        <f>85000000/7</f>
        <v>12142857.142857144</v>
      </c>
      <c r="DT76" s="300">
        <v>0</v>
      </c>
      <c r="DU76" s="300">
        <v>0</v>
      </c>
      <c r="DV76" s="300">
        <v>0</v>
      </c>
      <c r="DW76" s="311">
        <f t="shared" si="92"/>
        <v>189999999.99999997</v>
      </c>
      <c r="DX76" s="311">
        <f t="shared" si="92"/>
        <v>107198746.61428571</v>
      </c>
      <c r="DY76" s="311">
        <f t="shared" si="92"/>
        <v>32752628.142857142</v>
      </c>
      <c r="DZ76" s="311">
        <f t="shared" si="92"/>
        <v>26033621.285714287</v>
      </c>
      <c r="EA76" s="287"/>
    </row>
    <row r="77" spans="1:132" ht="45.75" customHeight="1" x14ac:dyDescent="0.2">
      <c r="A77" s="297" t="s">
        <v>2054</v>
      </c>
      <c r="B77" s="298"/>
      <c r="C77" s="299">
        <f t="shared" ref="C77:C82" si="110">650000000/7</f>
        <v>92857142.857142851</v>
      </c>
      <c r="D77" s="299">
        <f t="shared" ref="D77:D82" si="111">511653699/7</f>
        <v>73093385.571428567</v>
      </c>
      <c r="E77" s="299">
        <f t="shared" ref="E77:E82" si="112">179798847/7</f>
        <v>25685549.571428571</v>
      </c>
      <c r="F77" s="299">
        <f t="shared" ref="F77:F82" si="113">148777879/7</f>
        <v>21253982.714285713</v>
      </c>
      <c r="G77" s="299">
        <f t="shared" ref="G77:G82" si="114">137361137.01/7</f>
        <v>19623019.572857141</v>
      </c>
      <c r="H77" s="299">
        <f t="shared" ref="H77:H82" si="115">88071440/7</f>
        <v>12581634.285714285</v>
      </c>
      <c r="I77" s="299">
        <f t="shared" ref="I77:I82" si="116">21717396/7</f>
        <v>3102485.1428571427</v>
      </c>
      <c r="J77" s="299">
        <f t="shared" ref="J77:J82" si="117">11049156/7</f>
        <v>1578450.857142857</v>
      </c>
      <c r="K77" s="299">
        <f t="shared" ref="K77:K82" si="118">22126437.36/7</f>
        <v>3160919.6228571427</v>
      </c>
      <c r="L77" s="299">
        <f t="shared" ref="L77:L82" si="119">6507062.64/7</f>
        <v>929580.37714285706</v>
      </c>
      <c r="M77" s="299">
        <f t="shared" ref="M77:N82" si="120">2799720/7</f>
        <v>399960</v>
      </c>
      <c r="N77" s="299">
        <f t="shared" si="120"/>
        <v>399960</v>
      </c>
      <c r="O77" s="299">
        <f t="shared" ref="O77:O82" si="121">22163015/7</f>
        <v>3166145</v>
      </c>
      <c r="P77" s="299">
        <f t="shared" ref="P77:P81" si="122">22126437.36/7</f>
        <v>3160919.6228571427</v>
      </c>
      <c r="Q77" s="299">
        <v>0</v>
      </c>
      <c r="R77" s="299">
        <v>0</v>
      </c>
      <c r="S77" s="299">
        <f t="shared" ref="S77:S82" si="123">88787681.05/7</f>
        <v>12683954.435714286</v>
      </c>
      <c r="T77" s="299">
        <f t="shared" ref="T77:T82" si="124">38482560/7</f>
        <v>5497508.5714285718</v>
      </c>
      <c r="U77" s="299">
        <f t="shared" ref="U77:V82" si="125">8498142/7</f>
        <v>1214020.2857142857</v>
      </c>
      <c r="V77" s="299">
        <f t="shared" si="125"/>
        <v>1214020.2857142857</v>
      </c>
      <c r="W77" s="299">
        <f t="shared" ref="W77:W82" si="126">324561729.58/7</f>
        <v>46365961.368571423</v>
      </c>
      <c r="X77" s="299">
        <f t="shared" ref="X77:X82" si="127">83550027.3/7</f>
        <v>11935718.185714286</v>
      </c>
      <c r="Y77" s="299">
        <f t="shared" ref="Y77:Y82" si="128">16454292/7</f>
        <v>2350613.1428571427</v>
      </c>
      <c r="Z77" s="299">
        <f t="shared" ref="Z77:Z82" si="129">11110452/7</f>
        <v>1587207.4285714286</v>
      </c>
      <c r="AA77" s="299">
        <v>0</v>
      </c>
      <c r="AB77" s="299">
        <v>0</v>
      </c>
      <c r="AC77" s="299">
        <v>0</v>
      </c>
      <c r="AD77" s="299">
        <v>0</v>
      </c>
      <c r="AE77" s="299">
        <v>0</v>
      </c>
      <c r="AF77" s="299">
        <v>0</v>
      </c>
      <c r="AG77" s="299">
        <v>0</v>
      </c>
      <c r="AH77" s="299">
        <v>0</v>
      </c>
      <c r="AI77" s="299">
        <v>0</v>
      </c>
      <c r="AJ77" s="299">
        <v>0</v>
      </c>
      <c r="AK77" s="299">
        <v>0</v>
      </c>
      <c r="AL77" s="299">
        <v>0</v>
      </c>
      <c r="AM77" s="300">
        <v>0</v>
      </c>
      <c r="AN77" s="300">
        <v>0</v>
      </c>
      <c r="AO77" s="300">
        <v>0</v>
      </c>
      <c r="AP77" s="300">
        <v>0</v>
      </c>
      <c r="AQ77" s="300">
        <v>0</v>
      </c>
      <c r="AR77" s="300">
        <v>0</v>
      </c>
      <c r="AS77" s="300">
        <v>0</v>
      </c>
      <c r="AT77" s="300">
        <v>0</v>
      </c>
      <c r="AU77" s="300">
        <v>0</v>
      </c>
      <c r="AV77" s="300">
        <v>0</v>
      </c>
      <c r="AW77" s="300">
        <v>0</v>
      </c>
      <c r="AX77" s="300">
        <v>0</v>
      </c>
      <c r="AY77" s="300">
        <v>0</v>
      </c>
      <c r="AZ77" s="300">
        <v>0</v>
      </c>
      <c r="BA77" s="300">
        <v>0</v>
      </c>
      <c r="BB77" s="300">
        <v>0</v>
      </c>
      <c r="BC77" s="300">
        <v>0</v>
      </c>
      <c r="BD77" s="300">
        <v>0</v>
      </c>
      <c r="BE77" s="300">
        <v>0</v>
      </c>
      <c r="BF77" s="300">
        <v>0</v>
      </c>
      <c r="BG77" s="300">
        <v>0</v>
      </c>
      <c r="BH77" s="300">
        <v>0</v>
      </c>
      <c r="BI77" s="300">
        <v>0</v>
      </c>
      <c r="BJ77" s="300">
        <v>0</v>
      </c>
      <c r="BK77" s="299">
        <v>0</v>
      </c>
      <c r="BL77" s="299">
        <v>0</v>
      </c>
      <c r="BM77" s="299">
        <v>0</v>
      </c>
      <c r="BN77" s="299">
        <v>0</v>
      </c>
      <c r="BO77" s="300">
        <v>0</v>
      </c>
      <c r="BP77" s="300">
        <v>0</v>
      </c>
      <c r="BQ77" s="300">
        <v>0</v>
      </c>
      <c r="BR77" s="300">
        <v>0</v>
      </c>
      <c r="BS77" s="300">
        <v>0</v>
      </c>
      <c r="BT77" s="300">
        <v>0</v>
      </c>
      <c r="BU77" s="300">
        <v>0</v>
      </c>
      <c r="BV77" s="300">
        <v>0</v>
      </c>
      <c r="BW77" s="300">
        <v>0</v>
      </c>
      <c r="BX77" s="300">
        <v>0</v>
      </c>
      <c r="BY77" s="300">
        <v>0</v>
      </c>
      <c r="BZ77" s="300">
        <v>0</v>
      </c>
      <c r="CA77" s="300">
        <v>0</v>
      </c>
      <c r="CB77" s="300">
        <v>0</v>
      </c>
      <c r="CC77" s="300">
        <v>0</v>
      </c>
      <c r="CD77" s="300">
        <v>0</v>
      </c>
      <c r="CE77" s="300">
        <v>0</v>
      </c>
      <c r="CF77" s="300">
        <v>0</v>
      </c>
      <c r="CG77" s="300">
        <v>0</v>
      </c>
      <c r="CH77" s="300">
        <v>0</v>
      </c>
      <c r="CI77" s="300">
        <v>0</v>
      </c>
      <c r="CJ77" s="300">
        <v>0</v>
      </c>
      <c r="CK77" s="300">
        <v>0</v>
      </c>
      <c r="CL77" s="300">
        <v>0</v>
      </c>
      <c r="CM77" s="300">
        <v>0</v>
      </c>
      <c r="CN77" s="300">
        <v>0</v>
      </c>
      <c r="CO77" s="300">
        <v>0</v>
      </c>
      <c r="CP77" s="300">
        <v>0</v>
      </c>
      <c r="CQ77" s="300">
        <v>0</v>
      </c>
      <c r="CR77" s="300">
        <v>0</v>
      </c>
      <c r="CS77" s="300">
        <v>0</v>
      </c>
      <c r="CT77" s="300">
        <v>0</v>
      </c>
      <c r="CU77" s="300">
        <v>0</v>
      </c>
      <c r="CV77" s="300">
        <v>0</v>
      </c>
      <c r="CW77" s="300">
        <v>0</v>
      </c>
      <c r="CX77" s="300">
        <v>0</v>
      </c>
      <c r="CY77" s="300">
        <v>0</v>
      </c>
      <c r="CZ77" s="300">
        <v>0</v>
      </c>
      <c r="DA77" s="300">
        <v>0</v>
      </c>
      <c r="DB77" s="300">
        <v>0</v>
      </c>
      <c r="DC77" s="300">
        <v>0</v>
      </c>
      <c r="DD77" s="300">
        <v>0</v>
      </c>
      <c r="DE77" s="300">
        <v>0</v>
      </c>
      <c r="DF77" s="300">
        <v>0</v>
      </c>
      <c r="DG77" s="300">
        <v>0</v>
      </c>
      <c r="DH77" s="300">
        <v>0</v>
      </c>
      <c r="DI77" s="300">
        <v>0</v>
      </c>
      <c r="DJ77" s="300">
        <v>0</v>
      </c>
      <c r="DK77" s="300">
        <v>0</v>
      </c>
      <c r="DL77" s="300">
        <v>0</v>
      </c>
      <c r="DM77" s="300">
        <v>0</v>
      </c>
      <c r="DN77" s="300">
        <v>0</v>
      </c>
      <c r="DO77" s="300">
        <v>0</v>
      </c>
      <c r="DP77" s="300">
        <v>0</v>
      </c>
      <c r="DQ77" s="300">
        <v>0</v>
      </c>
      <c r="DR77" s="300">
        <v>0</v>
      </c>
      <c r="DS77" s="300">
        <f t="shared" ref="DS77:DS82" si="130">85000000/7</f>
        <v>12142857.142857144</v>
      </c>
      <c r="DT77" s="300">
        <v>0</v>
      </c>
      <c r="DU77" s="300">
        <v>0</v>
      </c>
      <c r="DV77" s="300">
        <v>0</v>
      </c>
      <c r="DW77" s="311">
        <f t="shared" si="92"/>
        <v>189999999.99999997</v>
      </c>
      <c r="DX77" s="311">
        <f t="shared" si="92"/>
        <v>107198746.61428571</v>
      </c>
      <c r="DY77" s="311">
        <f t="shared" si="92"/>
        <v>32752628.142857142</v>
      </c>
      <c r="DZ77" s="311">
        <f t="shared" si="92"/>
        <v>26033621.285714287</v>
      </c>
      <c r="EA77" s="287"/>
    </row>
    <row r="78" spans="1:132" ht="45.75" customHeight="1" x14ac:dyDescent="0.2">
      <c r="A78" s="297" t="s">
        <v>2055</v>
      </c>
      <c r="B78" s="298"/>
      <c r="C78" s="299">
        <f t="shared" si="110"/>
        <v>92857142.857142851</v>
      </c>
      <c r="D78" s="299">
        <f t="shared" si="111"/>
        <v>73093385.571428567</v>
      </c>
      <c r="E78" s="299">
        <f t="shared" si="112"/>
        <v>25685549.571428571</v>
      </c>
      <c r="F78" s="299">
        <f t="shared" si="113"/>
        <v>21253982.714285713</v>
      </c>
      <c r="G78" s="299">
        <f t="shared" si="114"/>
        <v>19623019.572857141</v>
      </c>
      <c r="H78" s="299">
        <f t="shared" si="115"/>
        <v>12581634.285714285</v>
      </c>
      <c r="I78" s="299">
        <f t="shared" si="116"/>
        <v>3102485.1428571427</v>
      </c>
      <c r="J78" s="299">
        <f t="shared" si="117"/>
        <v>1578450.857142857</v>
      </c>
      <c r="K78" s="299">
        <f t="shared" si="118"/>
        <v>3160919.6228571427</v>
      </c>
      <c r="L78" s="299">
        <f t="shared" si="119"/>
        <v>929580.37714285706</v>
      </c>
      <c r="M78" s="299">
        <f t="shared" si="120"/>
        <v>399960</v>
      </c>
      <c r="N78" s="299">
        <f t="shared" si="120"/>
        <v>399960</v>
      </c>
      <c r="O78" s="299">
        <f t="shared" si="121"/>
        <v>3166145</v>
      </c>
      <c r="P78" s="299">
        <f t="shared" si="122"/>
        <v>3160919.6228571427</v>
      </c>
      <c r="Q78" s="299">
        <v>0</v>
      </c>
      <c r="R78" s="299">
        <v>0</v>
      </c>
      <c r="S78" s="299">
        <f t="shared" si="123"/>
        <v>12683954.435714286</v>
      </c>
      <c r="T78" s="299">
        <f t="shared" si="124"/>
        <v>5497508.5714285718</v>
      </c>
      <c r="U78" s="299">
        <f t="shared" si="125"/>
        <v>1214020.2857142857</v>
      </c>
      <c r="V78" s="299">
        <f t="shared" si="125"/>
        <v>1214020.2857142857</v>
      </c>
      <c r="W78" s="299">
        <f t="shared" si="126"/>
        <v>46365961.368571423</v>
      </c>
      <c r="X78" s="299">
        <f t="shared" si="127"/>
        <v>11935718.185714286</v>
      </c>
      <c r="Y78" s="299">
        <f t="shared" si="128"/>
        <v>2350613.1428571427</v>
      </c>
      <c r="Z78" s="299">
        <f t="shared" si="129"/>
        <v>1587207.4285714286</v>
      </c>
      <c r="AA78" s="299">
        <v>0</v>
      </c>
      <c r="AB78" s="299">
        <v>0</v>
      </c>
      <c r="AC78" s="299">
        <v>0</v>
      </c>
      <c r="AD78" s="299">
        <v>0</v>
      </c>
      <c r="AE78" s="299">
        <v>0</v>
      </c>
      <c r="AF78" s="299">
        <v>0</v>
      </c>
      <c r="AG78" s="299">
        <v>0</v>
      </c>
      <c r="AH78" s="299">
        <v>0</v>
      </c>
      <c r="AI78" s="299">
        <v>0</v>
      </c>
      <c r="AJ78" s="299">
        <v>0</v>
      </c>
      <c r="AK78" s="299">
        <v>0</v>
      </c>
      <c r="AL78" s="299">
        <v>0</v>
      </c>
      <c r="AM78" s="300">
        <v>0</v>
      </c>
      <c r="AN78" s="300">
        <v>0</v>
      </c>
      <c r="AO78" s="300">
        <v>0</v>
      </c>
      <c r="AP78" s="300">
        <v>0</v>
      </c>
      <c r="AQ78" s="300">
        <v>0</v>
      </c>
      <c r="AR78" s="300">
        <v>0</v>
      </c>
      <c r="AS78" s="300">
        <v>0</v>
      </c>
      <c r="AT78" s="300">
        <v>0</v>
      </c>
      <c r="AU78" s="300">
        <v>0</v>
      </c>
      <c r="AV78" s="300">
        <v>0</v>
      </c>
      <c r="AW78" s="300">
        <v>0</v>
      </c>
      <c r="AX78" s="300">
        <v>0</v>
      </c>
      <c r="AY78" s="300">
        <v>0</v>
      </c>
      <c r="AZ78" s="300">
        <v>0</v>
      </c>
      <c r="BA78" s="300">
        <v>0</v>
      </c>
      <c r="BB78" s="300">
        <v>0</v>
      </c>
      <c r="BC78" s="300">
        <v>0</v>
      </c>
      <c r="BD78" s="300">
        <v>0</v>
      </c>
      <c r="BE78" s="300">
        <v>0</v>
      </c>
      <c r="BF78" s="300">
        <v>0</v>
      </c>
      <c r="BG78" s="300">
        <v>0</v>
      </c>
      <c r="BH78" s="300">
        <v>0</v>
      </c>
      <c r="BI78" s="300">
        <v>0</v>
      </c>
      <c r="BJ78" s="300">
        <v>0</v>
      </c>
      <c r="BK78" s="299">
        <v>0</v>
      </c>
      <c r="BL78" s="299">
        <v>0</v>
      </c>
      <c r="BM78" s="299">
        <v>0</v>
      </c>
      <c r="BN78" s="299">
        <v>0</v>
      </c>
      <c r="BO78" s="300">
        <v>0</v>
      </c>
      <c r="BP78" s="300">
        <v>0</v>
      </c>
      <c r="BQ78" s="300">
        <v>0</v>
      </c>
      <c r="BR78" s="300">
        <v>0</v>
      </c>
      <c r="BS78" s="300">
        <v>0</v>
      </c>
      <c r="BT78" s="300">
        <v>0</v>
      </c>
      <c r="BU78" s="300">
        <v>0</v>
      </c>
      <c r="BV78" s="300">
        <v>0</v>
      </c>
      <c r="BW78" s="300">
        <v>0</v>
      </c>
      <c r="BX78" s="300">
        <v>0</v>
      </c>
      <c r="BY78" s="300">
        <v>0</v>
      </c>
      <c r="BZ78" s="300">
        <v>0</v>
      </c>
      <c r="CA78" s="300">
        <v>0</v>
      </c>
      <c r="CB78" s="300">
        <v>0</v>
      </c>
      <c r="CC78" s="300">
        <v>0</v>
      </c>
      <c r="CD78" s="300">
        <v>0</v>
      </c>
      <c r="CE78" s="300">
        <v>0</v>
      </c>
      <c r="CF78" s="300">
        <v>0</v>
      </c>
      <c r="CG78" s="300">
        <v>0</v>
      </c>
      <c r="CH78" s="300">
        <v>0</v>
      </c>
      <c r="CI78" s="300">
        <v>0</v>
      </c>
      <c r="CJ78" s="300">
        <v>0</v>
      </c>
      <c r="CK78" s="300">
        <v>0</v>
      </c>
      <c r="CL78" s="300">
        <v>0</v>
      </c>
      <c r="CM78" s="300">
        <v>0</v>
      </c>
      <c r="CN78" s="300">
        <v>0</v>
      </c>
      <c r="CO78" s="300">
        <v>0</v>
      </c>
      <c r="CP78" s="300">
        <v>0</v>
      </c>
      <c r="CQ78" s="300">
        <v>0</v>
      </c>
      <c r="CR78" s="300">
        <v>0</v>
      </c>
      <c r="CS78" s="300">
        <v>0</v>
      </c>
      <c r="CT78" s="300">
        <v>0</v>
      </c>
      <c r="CU78" s="300">
        <v>0</v>
      </c>
      <c r="CV78" s="300">
        <v>0</v>
      </c>
      <c r="CW78" s="300">
        <v>0</v>
      </c>
      <c r="CX78" s="300">
        <v>0</v>
      </c>
      <c r="CY78" s="300">
        <v>0</v>
      </c>
      <c r="CZ78" s="300">
        <v>0</v>
      </c>
      <c r="DA78" s="300">
        <v>0</v>
      </c>
      <c r="DB78" s="300">
        <v>0</v>
      </c>
      <c r="DC78" s="300">
        <v>0</v>
      </c>
      <c r="DD78" s="300">
        <v>0</v>
      </c>
      <c r="DE78" s="300">
        <v>0</v>
      </c>
      <c r="DF78" s="300">
        <v>0</v>
      </c>
      <c r="DG78" s="300">
        <v>0</v>
      </c>
      <c r="DH78" s="300">
        <v>0</v>
      </c>
      <c r="DI78" s="300">
        <v>0</v>
      </c>
      <c r="DJ78" s="300">
        <v>0</v>
      </c>
      <c r="DK78" s="300">
        <v>0</v>
      </c>
      <c r="DL78" s="300">
        <v>0</v>
      </c>
      <c r="DM78" s="300">
        <v>0</v>
      </c>
      <c r="DN78" s="300">
        <v>0</v>
      </c>
      <c r="DO78" s="300">
        <v>0</v>
      </c>
      <c r="DP78" s="300">
        <v>0</v>
      </c>
      <c r="DQ78" s="300">
        <v>0</v>
      </c>
      <c r="DR78" s="300">
        <v>0</v>
      </c>
      <c r="DS78" s="300">
        <f t="shared" si="130"/>
        <v>12142857.142857144</v>
      </c>
      <c r="DT78" s="300">
        <v>0</v>
      </c>
      <c r="DU78" s="300">
        <v>0</v>
      </c>
      <c r="DV78" s="300">
        <v>0</v>
      </c>
      <c r="DW78" s="311">
        <f t="shared" si="92"/>
        <v>189999999.99999997</v>
      </c>
      <c r="DX78" s="311">
        <f t="shared" si="92"/>
        <v>107198746.61428571</v>
      </c>
      <c r="DY78" s="311">
        <f t="shared" si="92"/>
        <v>32752628.142857142</v>
      </c>
      <c r="DZ78" s="311">
        <f t="shared" si="92"/>
        <v>26033621.285714287</v>
      </c>
      <c r="EA78" s="287"/>
    </row>
    <row r="79" spans="1:132" ht="45.75" customHeight="1" x14ac:dyDescent="0.2">
      <c r="A79" s="297" t="s">
        <v>2056</v>
      </c>
      <c r="B79" s="298"/>
      <c r="C79" s="299">
        <f t="shared" si="110"/>
        <v>92857142.857142851</v>
      </c>
      <c r="D79" s="299">
        <f t="shared" si="111"/>
        <v>73093385.571428567</v>
      </c>
      <c r="E79" s="299">
        <f t="shared" si="112"/>
        <v>25685549.571428571</v>
      </c>
      <c r="F79" s="299">
        <f t="shared" si="113"/>
        <v>21253982.714285713</v>
      </c>
      <c r="G79" s="299">
        <f t="shared" si="114"/>
        <v>19623019.572857141</v>
      </c>
      <c r="H79" s="299">
        <f t="shared" si="115"/>
        <v>12581634.285714285</v>
      </c>
      <c r="I79" s="299">
        <f t="shared" si="116"/>
        <v>3102485.1428571427</v>
      </c>
      <c r="J79" s="299">
        <f t="shared" si="117"/>
        <v>1578450.857142857</v>
      </c>
      <c r="K79" s="299">
        <f t="shared" si="118"/>
        <v>3160919.6228571427</v>
      </c>
      <c r="L79" s="299">
        <f t="shared" si="119"/>
        <v>929580.37714285706</v>
      </c>
      <c r="M79" s="299">
        <f t="shared" si="120"/>
        <v>399960</v>
      </c>
      <c r="N79" s="299">
        <f t="shared" si="120"/>
        <v>399960</v>
      </c>
      <c r="O79" s="299">
        <f t="shared" si="121"/>
        <v>3166145</v>
      </c>
      <c r="P79" s="299">
        <f t="shared" si="122"/>
        <v>3160919.6228571427</v>
      </c>
      <c r="Q79" s="299">
        <v>0</v>
      </c>
      <c r="R79" s="299">
        <v>0</v>
      </c>
      <c r="S79" s="299">
        <f t="shared" si="123"/>
        <v>12683954.435714286</v>
      </c>
      <c r="T79" s="299">
        <f t="shared" si="124"/>
        <v>5497508.5714285718</v>
      </c>
      <c r="U79" s="299">
        <f t="shared" si="125"/>
        <v>1214020.2857142857</v>
      </c>
      <c r="V79" s="299">
        <f t="shared" si="125"/>
        <v>1214020.2857142857</v>
      </c>
      <c r="W79" s="299">
        <f t="shared" si="126"/>
        <v>46365961.368571423</v>
      </c>
      <c r="X79" s="299">
        <f t="shared" si="127"/>
        <v>11935718.185714286</v>
      </c>
      <c r="Y79" s="299">
        <f t="shared" si="128"/>
        <v>2350613.1428571427</v>
      </c>
      <c r="Z79" s="299">
        <f t="shared" si="129"/>
        <v>1587207.4285714286</v>
      </c>
      <c r="AA79" s="299">
        <v>0</v>
      </c>
      <c r="AB79" s="299">
        <v>0</v>
      </c>
      <c r="AC79" s="299">
        <v>0</v>
      </c>
      <c r="AD79" s="299">
        <v>0</v>
      </c>
      <c r="AE79" s="299">
        <v>0</v>
      </c>
      <c r="AF79" s="299">
        <v>0</v>
      </c>
      <c r="AG79" s="299">
        <v>0</v>
      </c>
      <c r="AH79" s="299">
        <v>0</v>
      </c>
      <c r="AI79" s="299">
        <v>0</v>
      </c>
      <c r="AJ79" s="299">
        <v>0</v>
      </c>
      <c r="AK79" s="299">
        <v>0</v>
      </c>
      <c r="AL79" s="299">
        <v>0</v>
      </c>
      <c r="AM79" s="300">
        <v>0</v>
      </c>
      <c r="AN79" s="300">
        <v>0</v>
      </c>
      <c r="AO79" s="300">
        <v>0</v>
      </c>
      <c r="AP79" s="300">
        <v>0</v>
      </c>
      <c r="AQ79" s="300">
        <v>0</v>
      </c>
      <c r="AR79" s="300">
        <v>0</v>
      </c>
      <c r="AS79" s="300">
        <v>0</v>
      </c>
      <c r="AT79" s="300">
        <v>0</v>
      </c>
      <c r="AU79" s="300">
        <v>0</v>
      </c>
      <c r="AV79" s="300">
        <v>0</v>
      </c>
      <c r="AW79" s="300">
        <v>0</v>
      </c>
      <c r="AX79" s="300">
        <v>0</v>
      </c>
      <c r="AY79" s="300">
        <v>0</v>
      </c>
      <c r="AZ79" s="300">
        <v>0</v>
      </c>
      <c r="BA79" s="300">
        <v>0</v>
      </c>
      <c r="BB79" s="300">
        <v>0</v>
      </c>
      <c r="BC79" s="300">
        <v>0</v>
      </c>
      <c r="BD79" s="300">
        <v>0</v>
      </c>
      <c r="BE79" s="300">
        <v>0</v>
      </c>
      <c r="BF79" s="300">
        <v>0</v>
      </c>
      <c r="BG79" s="300">
        <v>0</v>
      </c>
      <c r="BH79" s="300">
        <v>0</v>
      </c>
      <c r="BI79" s="300">
        <v>0</v>
      </c>
      <c r="BJ79" s="300">
        <v>0</v>
      </c>
      <c r="BK79" s="299">
        <v>0</v>
      </c>
      <c r="BL79" s="299">
        <v>0</v>
      </c>
      <c r="BM79" s="299">
        <v>0</v>
      </c>
      <c r="BN79" s="299">
        <v>0</v>
      </c>
      <c r="BO79" s="300">
        <v>0</v>
      </c>
      <c r="BP79" s="300">
        <v>0</v>
      </c>
      <c r="BQ79" s="300">
        <v>0</v>
      </c>
      <c r="BR79" s="300">
        <v>0</v>
      </c>
      <c r="BS79" s="300">
        <v>0</v>
      </c>
      <c r="BT79" s="300">
        <v>0</v>
      </c>
      <c r="BU79" s="300">
        <v>0</v>
      </c>
      <c r="BV79" s="300">
        <v>0</v>
      </c>
      <c r="BW79" s="300">
        <v>0</v>
      </c>
      <c r="BX79" s="300">
        <v>0</v>
      </c>
      <c r="BY79" s="300">
        <v>0</v>
      </c>
      <c r="BZ79" s="300">
        <v>0</v>
      </c>
      <c r="CA79" s="300">
        <v>0</v>
      </c>
      <c r="CB79" s="300">
        <v>0</v>
      </c>
      <c r="CC79" s="300">
        <v>0</v>
      </c>
      <c r="CD79" s="300">
        <v>0</v>
      </c>
      <c r="CE79" s="300">
        <v>0</v>
      </c>
      <c r="CF79" s="300">
        <v>0</v>
      </c>
      <c r="CG79" s="300">
        <v>0</v>
      </c>
      <c r="CH79" s="300">
        <v>0</v>
      </c>
      <c r="CI79" s="300">
        <v>0</v>
      </c>
      <c r="CJ79" s="300">
        <v>0</v>
      </c>
      <c r="CK79" s="300">
        <v>0</v>
      </c>
      <c r="CL79" s="300">
        <v>0</v>
      </c>
      <c r="CM79" s="300">
        <v>0</v>
      </c>
      <c r="CN79" s="300">
        <v>0</v>
      </c>
      <c r="CO79" s="300">
        <v>0</v>
      </c>
      <c r="CP79" s="300">
        <v>0</v>
      </c>
      <c r="CQ79" s="300">
        <v>0</v>
      </c>
      <c r="CR79" s="300">
        <v>0</v>
      </c>
      <c r="CS79" s="300">
        <v>0</v>
      </c>
      <c r="CT79" s="300">
        <v>0</v>
      </c>
      <c r="CU79" s="300">
        <v>0</v>
      </c>
      <c r="CV79" s="300">
        <v>0</v>
      </c>
      <c r="CW79" s="300">
        <v>0</v>
      </c>
      <c r="CX79" s="300">
        <v>0</v>
      </c>
      <c r="CY79" s="300">
        <v>0</v>
      </c>
      <c r="CZ79" s="300">
        <v>0</v>
      </c>
      <c r="DA79" s="300">
        <v>0</v>
      </c>
      <c r="DB79" s="300">
        <v>0</v>
      </c>
      <c r="DC79" s="300">
        <v>0</v>
      </c>
      <c r="DD79" s="300">
        <v>0</v>
      </c>
      <c r="DE79" s="300">
        <v>0</v>
      </c>
      <c r="DF79" s="300">
        <v>0</v>
      </c>
      <c r="DG79" s="300">
        <v>0</v>
      </c>
      <c r="DH79" s="300">
        <v>0</v>
      </c>
      <c r="DI79" s="300">
        <v>0</v>
      </c>
      <c r="DJ79" s="300">
        <v>0</v>
      </c>
      <c r="DK79" s="300">
        <v>0</v>
      </c>
      <c r="DL79" s="300">
        <v>0</v>
      </c>
      <c r="DM79" s="300">
        <v>0</v>
      </c>
      <c r="DN79" s="300">
        <v>0</v>
      </c>
      <c r="DO79" s="300">
        <v>0</v>
      </c>
      <c r="DP79" s="300">
        <v>0</v>
      </c>
      <c r="DQ79" s="300">
        <v>0</v>
      </c>
      <c r="DR79" s="300">
        <v>0</v>
      </c>
      <c r="DS79" s="300">
        <f t="shared" si="130"/>
        <v>12142857.142857144</v>
      </c>
      <c r="DT79" s="300">
        <v>0</v>
      </c>
      <c r="DU79" s="300">
        <v>0</v>
      </c>
      <c r="DV79" s="300">
        <v>0</v>
      </c>
      <c r="DW79" s="311">
        <f t="shared" si="92"/>
        <v>189999999.99999997</v>
      </c>
      <c r="DX79" s="311">
        <f t="shared" si="92"/>
        <v>107198746.61428571</v>
      </c>
      <c r="DY79" s="311">
        <f t="shared" si="92"/>
        <v>32752628.142857142</v>
      </c>
      <c r="DZ79" s="311">
        <f t="shared" si="92"/>
        <v>26033621.285714287</v>
      </c>
      <c r="EA79" s="287"/>
    </row>
    <row r="80" spans="1:132" ht="45.75" customHeight="1" x14ac:dyDescent="0.2">
      <c r="A80" s="297" t="s">
        <v>2057</v>
      </c>
      <c r="B80" s="298"/>
      <c r="C80" s="299">
        <f t="shared" si="110"/>
        <v>92857142.857142851</v>
      </c>
      <c r="D80" s="299">
        <f t="shared" si="111"/>
        <v>73093385.571428567</v>
      </c>
      <c r="E80" s="299">
        <f t="shared" si="112"/>
        <v>25685549.571428571</v>
      </c>
      <c r="F80" s="299">
        <f t="shared" si="113"/>
        <v>21253982.714285713</v>
      </c>
      <c r="G80" s="299">
        <f t="shared" si="114"/>
        <v>19623019.572857141</v>
      </c>
      <c r="H80" s="299">
        <f t="shared" si="115"/>
        <v>12581634.285714285</v>
      </c>
      <c r="I80" s="299">
        <f t="shared" si="116"/>
        <v>3102485.1428571427</v>
      </c>
      <c r="J80" s="299">
        <f t="shared" si="117"/>
        <v>1578450.857142857</v>
      </c>
      <c r="K80" s="299">
        <f t="shared" si="118"/>
        <v>3160919.6228571427</v>
      </c>
      <c r="L80" s="299">
        <f t="shared" si="119"/>
        <v>929580.37714285706</v>
      </c>
      <c r="M80" s="299">
        <f t="shared" si="120"/>
        <v>399960</v>
      </c>
      <c r="N80" s="299">
        <f t="shared" si="120"/>
        <v>399960</v>
      </c>
      <c r="O80" s="299">
        <f t="shared" si="121"/>
        <v>3166145</v>
      </c>
      <c r="P80" s="299">
        <f t="shared" si="122"/>
        <v>3160919.6228571427</v>
      </c>
      <c r="Q80" s="299">
        <v>0</v>
      </c>
      <c r="R80" s="299">
        <v>0</v>
      </c>
      <c r="S80" s="299">
        <f t="shared" si="123"/>
        <v>12683954.435714286</v>
      </c>
      <c r="T80" s="299">
        <f t="shared" si="124"/>
        <v>5497508.5714285718</v>
      </c>
      <c r="U80" s="299">
        <f t="shared" si="125"/>
        <v>1214020.2857142857</v>
      </c>
      <c r="V80" s="299">
        <f t="shared" si="125"/>
        <v>1214020.2857142857</v>
      </c>
      <c r="W80" s="299">
        <f t="shared" si="126"/>
        <v>46365961.368571423</v>
      </c>
      <c r="X80" s="299">
        <f t="shared" si="127"/>
        <v>11935718.185714286</v>
      </c>
      <c r="Y80" s="299">
        <f t="shared" si="128"/>
        <v>2350613.1428571427</v>
      </c>
      <c r="Z80" s="299">
        <f t="shared" si="129"/>
        <v>1587207.4285714286</v>
      </c>
      <c r="AA80" s="299">
        <v>0</v>
      </c>
      <c r="AB80" s="299">
        <v>0</v>
      </c>
      <c r="AC80" s="299">
        <v>0</v>
      </c>
      <c r="AD80" s="299">
        <v>0</v>
      </c>
      <c r="AE80" s="299">
        <v>0</v>
      </c>
      <c r="AF80" s="299">
        <v>0</v>
      </c>
      <c r="AG80" s="299">
        <v>0</v>
      </c>
      <c r="AH80" s="299">
        <v>0</v>
      </c>
      <c r="AI80" s="299">
        <v>0</v>
      </c>
      <c r="AJ80" s="299">
        <v>0</v>
      </c>
      <c r="AK80" s="299">
        <v>0</v>
      </c>
      <c r="AL80" s="299">
        <v>0</v>
      </c>
      <c r="AM80" s="300">
        <v>0</v>
      </c>
      <c r="AN80" s="300">
        <v>0</v>
      </c>
      <c r="AO80" s="300">
        <v>0</v>
      </c>
      <c r="AP80" s="300">
        <v>0</v>
      </c>
      <c r="AQ80" s="300">
        <v>0</v>
      </c>
      <c r="AR80" s="300">
        <v>0</v>
      </c>
      <c r="AS80" s="300">
        <v>0</v>
      </c>
      <c r="AT80" s="300">
        <v>0</v>
      </c>
      <c r="AU80" s="300">
        <v>0</v>
      </c>
      <c r="AV80" s="300">
        <v>0</v>
      </c>
      <c r="AW80" s="300">
        <v>0</v>
      </c>
      <c r="AX80" s="300">
        <v>0</v>
      </c>
      <c r="AY80" s="300">
        <v>0</v>
      </c>
      <c r="AZ80" s="300">
        <v>0</v>
      </c>
      <c r="BA80" s="300">
        <v>0</v>
      </c>
      <c r="BB80" s="300">
        <v>0</v>
      </c>
      <c r="BC80" s="300">
        <v>0</v>
      </c>
      <c r="BD80" s="300">
        <v>0</v>
      </c>
      <c r="BE80" s="300">
        <v>0</v>
      </c>
      <c r="BF80" s="300">
        <v>0</v>
      </c>
      <c r="BG80" s="300">
        <v>0</v>
      </c>
      <c r="BH80" s="300">
        <v>0</v>
      </c>
      <c r="BI80" s="300">
        <v>0</v>
      </c>
      <c r="BJ80" s="300">
        <v>0</v>
      </c>
      <c r="BK80" s="299">
        <v>0</v>
      </c>
      <c r="BL80" s="299">
        <v>0</v>
      </c>
      <c r="BM80" s="299">
        <v>0</v>
      </c>
      <c r="BN80" s="299">
        <v>0</v>
      </c>
      <c r="BO80" s="300">
        <v>0</v>
      </c>
      <c r="BP80" s="300">
        <v>0</v>
      </c>
      <c r="BQ80" s="300">
        <v>0</v>
      </c>
      <c r="BR80" s="300">
        <v>0</v>
      </c>
      <c r="BS80" s="300">
        <v>0</v>
      </c>
      <c r="BT80" s="300">
        <v>0</v>
      </c>
      <c r="BU80" s="300">
        <v>0</v>
      </c>
      <c r="BV80" s="300">
        <v>0</v>
      </c>
      <c r="BW80" s="300">
        <v>0</v>
      </c>
      <c r="BX80" s="300">
        <v>0</v>
      </c>
      <c r="BY80" s="300">
        <v>0</v>
      </c>
      <c r="BZ80" s="300">
        <v>0</v>
      </c>
      <c r="CA80" s="300">
        <v>0</v>
      </c>
      <c r="CB80" s="300">
        <v>0</v>
      </c>
      <c r="CC80" s="300">
        <v>0</v>
      </c>
      <c r="CD80" s="300">
        <v>0</v>
      </c>
      <c r="CE80" s="300">
        <v>0</v>
      </c>
      <c r="CF80" s="300">
        <v>0</v>
      </c>
      <c r="CG80" s="300">
        <v>0</v>
      </c>
      <c r="CH80" s="300">
        <v>0</v>
      </c>
      <c r="CI80" s="300">
        <v>0</v>
      </c>
      <c r="CJ80" s="300">
        <v>0</v>
      </c>
      <c r="CK80" s="300">
        <v>0</v>
      </c>
      <c r="CL80" s="300">
        <v>0</v>
      </c>
      <c r="CM80" s="300">
        <v>0</v>
      </c>
      <c r="CN80" s="300">
        <v>0</v>
      </c>
      <c r="CO80" s="300">
        <v>0</v>
      </c>
      <c r="CP80" s="300">
        <v>0</v>
      </c>
      <c r="CQ80" s="300">
        <v>0</v>
      </c>
      <c r="CR80" s="300">
        <v>0</v>
      </c>
      <c r="CS80" s="300">
        <v>0</v>
      </c>
      <c r="CT80" s="300">
        <v>0</v>
      </c>
      <c r="CU80" s="300">
        <v>0</v>
      </c>
      <c r="CV80" s="300">
        <v>0</v>
      </c>
      <c r="CW80" s="300">
        <v>0</v>
      </c>
      <c r="CX80" s="300">
        <v>0</v>
      </c>
      <c r="CY80" s="300">
        <v>0</v>
      </c>
      <c r="CZ80" s="300">
        <v>0</v>
      </c>
      <c r="DA80" s="300">
        <v>0</v>
      </c>
      <c r="DB80" s="300">
        <v>0</v>
      </c>
      <c r="DC80" s="300">
        <v>0</v>
      </c>
      <c r="DD80" s="300">
        <v>0</v>
      </c>
      <c r="DE80" s="300">
        <v>0</v>
      </c>
      <c r="DF80" s="300">
        <v>0</v>
      </c>
      <c r="DG80" s="300">
        <v>0</v>
      </c>
      <c r="DH80" s="300">
        <v>0</v>
      </c>
      <c r="DI80" s="300">
        <v>0</v>
      </c>
      <c r="DJ80" s="300">
        <v>0</v>
      </c>
      <c r="DK80" s="300">
        <v>0</v>
      </c>
      <c r="DL80" s="300">
        <v>0</v>
      </c>
      <c r="DM80" s="300">
        <v>0</v>
      </c>
      <c r="DN80" s="300">
        <v>0</v>
      </c>
      <c r="DO80" s="300">
        <v>0</v>
      </c>
      <c r="DP80" s="300">
        <v>0</v>
      </c>
      <c r="DQ80" s="300">
        <v>0</v>
      </c>
      <c r="DR80" s="300">
        <v>0</v>
      </c>
      <c r="DS80" s="300">
        <f t="shared" si="130"/>
        <v>12142857.142857144</v>
      </c>
      <c r="DT80" s="300">
        <v>0</v>
      </c>
      <c r="DU80" s="300">
        <v>0</v>
      </c>
      <c r="DV80" s="300">
        <v>0</v>
      </c>
      <c r="DW80" s="311">
        <f t="shared" si="92"/>
        <v>189999999.99999997</v>
      </c>
      <c r="DX80" s="311">
        <f t="shared" si="92"/>
        <v>107198746.61428571</v>
      </c>
      <c r="DY80" s="311">
        <f t="shared" si="92"/>
        <v>32752628.142857142</v>
      </c>
      <c r="DZ80" s="311">
        <f t="shared" si="92"/>
        <v>26033621.285714287</v>
      </c>
      <c r="EA80" s="287"/>
    </row>
    <row r="81" spans="1:132" ht="45.75" customHeight="1" x14ac:dyDescent="0.2">
      <c r="A81" s="297" t="s">
        <v>2058</v>
      </c>
      <c r="B81" s="298"/>
      <c r="C81" s="299">
        <f t="shared" si="110"/>
        <v>92857142.857142851</v>
      </c>
      <c r="D81" s="299">
        <f t="shared" si="111"/>
        <v>73093385.571428567</v>
      </c>
      <c r="E81" s="299">
        <f t="shared" si="112"/>
        <v>25685549.571428571</v>
      </c>
      <c r="F81" s="299">
        <f t="shared" si="113"/>
        <v>21253982.714285713</v>
      </c>
      <c r="G81" s="299">
        <f t="shared" si="114"/>
        <v>19623019.572857141</v>
      </c>
      <c r="H81" s="299">
        <f t="shared" si="115"/>
        <v>12581634.285714285</v>
      </c>
      <c r="I81" s="299">
        <f t="shared" si="116"/>
        <v>3102485.1428571427</v>
      </c>
      <c r="J81" s="299">
        <f t="shared" si="117"/>
        <v>1578450.857142857</v>
      </c>
      <c r="K81" s="299">
        <f t="shared" si="118"/>
        <v>3160919.6228571427</v>
      </c>
      <c r="L81" s="299">
        <f t="shared" si="119"/>
        <v>929580.37714285706</v>
      </c>
      <c r="M81" s="299">
        <f t="shared" si="120"/>
        <v>399960</v>
      </c>
      <c r="N81" s="299">
        <f t="shared" si="120"/>
        <v>399960</v>
      </c>
      <c r="O81" s="299">
        <f t="shared" si="121"/>
        <v>3166145</v>
      </c>
      <c r="P81" s="299">
        <f t="shared" si="122"/>
        <v>3160919.6228571427</v>
      </c>
      <c r="Q81" s="299">
        <v>0</v>
      </c>
      <c r="R81" s="299">
        <v>0</v>
      </c>
      <c r="S81" s="299">
        <f t="shared" si="123"/>
        <v>12683954.435714286</v>
      </c>
      <c r="T81" s="299">
        <f t="shared" si="124"/>
        <v>5497508.5714285718</v>
      </c>
      <c r="U81" s="299">
        <f t="shared" si="125"/>
        <v>1214020.2857142857</v>
      </c>
      <c r="V81" s="299">
        <f t="shared" si="125"/>
        <v>1214020.2857142857</v>
      </c>
      <c r="W81" s="299">
        <f t="shared" si="126"/>
        <v>46365961.368571423</v>
      </c>
      <c r="X81" s="299">
        <f t="shared" si="127"/>
        <v>11935718.185714286</v>
      </c>
      <c r="Y81" s="299">
        <f t="shared" si="128"/>
        <v>2350613.1428571427</v>
      </c>
      <c r="Z81" s="299">
        <f t="shared" si="129"/>
        <v>1587207.4285714286</v>
      </c>
      <c r="AA81" s="299">
        <v>0</v>
      </c>
      <c r="AB81" s="299">
        <v>0</v>
      </c>
      <c r="AC81" s="299">
        <v>0</v>
      </c>
      <c r="AD81" s="299">
        <v>0</v>
      </c>
      <c r="AE81" s="299">
        <v>0</v>
      </c>
      <c r="AF81" s="299">
        <v>0</v>
      </c>
      <c r="AG81" s="299">
        <v>0</v>
      </c>
      <c r="AH81" s="299">
        <v>0</v>
      </c>
      <c r="AI81" s="299">
        <v>0</v>
      </c>
      <c r="AJ81" s="299">
        <v>0</v>
      </c>
      <c r="AK81" s="299">
        <v>0</v>
      </c>
      <c r="AL81" s="299">
        <v>0</v>
      </c>
      <c r="AM81" s="300">
        <v>0</v>
      </c>
      <c r="AN81" s="300">
        <v>0</v>
      </c>
      <c r="AO81" s="300">
        <v>0</v>
      </c>
      <c r="AP81" s="300">
        <v>0</v>
      </c>
      <c r="AQ81" s="300">
        <v>0</v>
      </c>
      <c r="AR81" s="300">
        <v>0</v>
      </c>
      <c r="AS81" s="300">
        <v>0</v>
      </c>
      <c r="AT81" s="300">
        <v>0</v>
      </c>
      <c r="AU81" s="300">
        <v>0</v>
      </c>
      <c r="AV81" s="300">
        <v>0</v>
      </c>
      <c r="AW81" s="300">
        <v>0</v>
      </c>
      <c r="AX81" s="300">
        <v>0</v>
      </c>
      <c r="AY81" s="300">
        <v>0</v>
      </c>
      <c r="AZ81" s="300">
        <v>0</v>
      </c>
      <c r="BA81" s="300">
        <v>0</v>
      </c>
      <c r="BB81" s="300">
        <v>0</v>
      </c>
      <c r="BC81" s="300">
        <v>0</v>
      </c>
      <c r="BD81" s="300">
        <v>0</v>
      </c>
      <c r="BE81" s="300">
        <v>0</v>
      </c>
      <c r="BF81" s="300">
        <v>0</v>
      </c>
      <c r="BG81" s="300">
        <v>0</v>
      </c>
      <c r="BH81" s="300">
        <v>0</v>
      </c>
      <c r="BI81" s="300">
        <v>0</v>
      </c>
      <c r="BJ81" s="300">
        <v>0</v>
      </c>
      <c r="BK81" s="299">
        <v>0</v>
      </c>
      <c r="BL81" s="299">
        <v>0</v>
      </c>
      <c r="BM81" s="299">
        <v>0</v>
      </c>
      <c r="BN81" s="299">
        <v>0</v>
      </c>
      <c r="BO81" s="300">
        <v>0</v>
      </c>
      <c r="BP81" s="300">
        <v>0</v>
      </c>
      <c r="BQ81" s="300">
        <v>0</v>
      </c>
      <c r="BR81" s="300">
        <v>0</v>
      </c>
      <c r="BS81" s="300">
        <v>0</v>
      </c>
      <c r="BT81" s="300">
        <v>0</v>
      </c>
      <c r="BU81" s="300">
        <v>0</v>
      </c>
      <c r="BV81" s="300">
        <v>0</v>
      </c>
      <c r="BW81" s="300">
        <v>0</v>
      </c>
      <c r="BX81" s="300">
        <v>0</v>
      </c>
      <c r="BY81" s="300">
        <v>0</v>
      </c>
      <c r="BZ81" s="300">
        <v>0</v>
      </c>
      <c r="CA81" s="300">
        <v>0</v>
      </c>
      <c r="CB81" s="300">
        <v>0</v>
      </c>
      <c r="CC81" s="300">
        <v>0</v>
      </c>
      <c r="CD81" s="300">
        <v>0</v>
      </c>
      <c r="CE81" s="300">
        <v>0</v>
      </c>
      <c r="CF81" s="300">
        <v>0</v>
      </c>
      <c r="CG81" s="300">
        <v>0</v>
      </c>
      <c r="CH81" s="300">
        <v>0</v>
      </c>
      <c r="CI81" s="300">
        <v>0</v>
      </c>
      <c r="CJ81" s="300">
        <v>0</v>
      </c>
      <c r="CK81" s="300">
        <v>0</v>
      </c>
      <c r="CL81" s="300">
        <v>0</v>
      </c>
      <c r="CM81" s="300">
        <v>0</v>
      </c>
      <c r="CN81" s="300">
        <v>0</v>
      </c>
      <c r="CO81" s="300">
        <v>0</v>
      </c>
      <c r="CP81" s="300">
        <v>0</v>
      </c>
      <c r="CQ81" s="300">
        <v>0</v>
      </c>
      <c r="CR81" s="300">
        <v>0</v>
      </c>
      <c r="CS81" s="300">
        <v>0</v>
      </c>
      <c r="CT81" s="300">
        <v>0</v>
      </c>
      <c r="CU81" s="300">
        <v>0</v>
      </c>
      <c r="CV81" s="300">
        <v>0</v>
      </c>
      <c r="CW81" s="300">
        <v>0</v>
      </c>
      <c r="CX81" s="300">
        <v>0</v>
      </c>
      <c r="CY81" s="300">
        <v>0</v>
      </c>
      <c r="CZ81" s="300">
        <v>0</v>
      </c>
      <c r="DA81" s="300">
        <v>0</v>
      </c>
      <c r="DB81" s="300">
        <v>0</v>
      </c>
      <c r="DC81" s="300">
        <v>0</v>
      </c>
      <c r="DD81" s="300">
        <v>0</v>
      </c>
      <c r="DE81" s="300">
        <v>0</v>
      </c>
      <c r="DF81" s="300">
        <v>0</v>
      </c>
      <c r="DG81" s="300">
        <v>0</v>
      </c>
      <c r="DH81" s="300">
        <v>0</v>
      </c>
      <c r="DI81" s="300">
        <v>0</v>
      </c>
      <c r="DJ81" s="300">
        <v>0</v>
      </c>
      <c r="DK81" s="300">
        <v>0</v>
      </c>
      <c r="DL81" s="300">
        <v>0</v>
      </c>
      <c r="DM81" s="300">
        <v>0</v>
      </c>
      <c r="DN81" s="300">
        <v>0</v>
      </c>
      <c r="DO81" s="300">
        <v>0</v>
      </c>
      <c r="DP81" s="300">
        <v>0</v>
      </c>
      <c r="DQ81" s="300">
        <v>0</v>
      </c>
      <c r="DR81" s="300">
        <v>0</v>
      </c>
      <c r="DS81" s="300">
        <f t="shared" si="130"/>
        <v>12142857.142857144</v>
      </c>
      <c r="DT81" s="300">
        <v>0</v>
      </c>
      <c r="DU81" s="300">
        <v>0</v>
      </c>
      <c r="DV81" s="300">
        <v>0</v>
      </c>
      <c r="DW81" s="311">
        <f t="shared" si="92"/>
        <v>189999999.99999997</v>
      </c>
      <c r="DX81" s="311">
        <f t="shared" si="92"/>
        <v>107198746.61428571</v>
      </c>
      <c r="DY81" s="311">
        <f t="shared" si="92"/>
        <v>32752628.142857142</v>
      </c>
      <c r="DZ81" s="311">
        <f t="shared" si="92"/>
        <v>26033621.285714287</v>
      </c>
      <c r="EA81" s="287"/>
    </row>
    <row r="82" spans="1:132" ht="45.75" customHeight="1" x14ac:dyDescent="0.2">
      <c r="A82" s="297" t="s">
        <v>2059</v>
      </c>
      <c r="B82" s="301"/>
      <c r="C82" s="299">
        <f t="shared" si="110"/>
        <v>92857142.857142851</v>
      </c>
      <c r="D82" s="299">
        <f t="shared" si="111"/>
        <v>73093385.571428567</v>
      </c>
      <c r="E82" s="299">
        <f t="shared" si="112"/>
        <v>25685549.571428571</v>
      </c>
      <c r="F82" s="299">
        <f t="shared" si="113"/>
        <v>21253982.714285713</v>
      </c>
      <c r="G82" s="299">
        <f t="shared" si="114"/>
        <v>19623019.572857141</v>
      </c>
      <c r="H82" s="299">
        <f t="shared" si="115"/>
        <v>12581634.285714285</v>
      </c>
      <c r="I82" s="299">
        <f t="shared" si="116"/>
        <v>3102485.1428571427</v>
      </c>
      <c r="J82" s="299">
        <f t="shared" si="117"/>
        <v>1578450.857142857</v>
      </c>
      <c r="K82" s="299">
        <f t="shared" si="118"/>
        <v>3160919.6228571427</v>
      </c>
      <c r="L82" s="299">
        <f t="shared" si="119"/>
        <v>929580.37714285706</v>
      </c>
      <c r="M82" s="299">
        <f t="shared" si="120"/>
        <v>399960</v>
      </c>
      <c r="N82" s="299">
        <f t="shared" si="120"/>
        <v>399960</v>
      </c>
      <c r="O82" s="299">
        <f t="shared" si="121"/>
        <v>3166145</v>
      </c>
      <c r="P82" s="299">
        <f>22126437.36/7</f>
        <v>3160919.6228571427</v>
      </c>
      <c r="Q82" s="299">
        <v>0</v>
      </c>
      <c r="R82" s="299">
        <v>0</v>
      </c>
      <c r="S82" s="299">
        <f t="shared" si="123"/>
        <v>12683954.435714286</v>
      </c>
      <c r="T82" s="299">
        <f t="shared" si="124"/>
        <v>5497508.5714285718</v>
      </c>
      <c r="U82" s="299">
        <f t="shared" si="125"/>
        <v>1214020.2857142857</v>
      </c>
      <c r="V82" s="299">
        <f t="shared" si="125"/>
        <v>1214020.2857142857</v>
      </c>
      <c r="W82" s="299">
        <f t="shared" si="126"/>
        <v>46365961.368571423</v>
      </c>
      <c r="X82" s="299">
        <f t="shared" si="127"/>
        <v>11935718.185714286</v>
      </c>
      <c r="Y82" s="299">
        <f t="shared" si="128"/>
        <v>2350613.1428571427</v>
      </c>
      <c r="Z82" s="299">
        <f t="shared" si="129"/>
        <v>1587207.4285714286</v>
      </c>
      <c r="AA82" s="299">
        <v>0</v>
      </c>
      <c r="AB82" s="299">
        <v>0</v>
      </c>
      <c r="AC82" s="299">
        <v>0</v>
      </c>
      <c r="AD82" s="299">
        <v>0</v>
      </c>
      <c r="AE82" s="299">
        <v>0</v>
      </c>
      <c r="AF82" s="299">
        <v>0</v>
      </c>
      <c r="AG82" s="299">
        <v>0</v>
      </c>
      <c r="AH82" s="299">
        <v>0</v>
      </c>
      <c r="AI82" s="299">
        <v>0</v>
      </c>
      <c r="AJ82" s="299">
        <v>0</v>
      </c>
      <c r="AK82" s="299">
        <v>0</v>
      </c>
      <c r="AL82" s="299">
        <v>0</v>
      </c>
      <c r="AM82" s="300">
        <v>0</v>
      </c>
      <c r="AN82" s="300">
        <v>0</v>
      </c>
      <c r="AO82" s="300">
        <v>0</v>
      </c>
      <c r="AP82" s="300">
        <v>0</v>
      </c>
      <c r="AQ82" s="300">
        <v>0</v>
      </c>
      <c r="AR82" s="300">
        <v>0</v>
      </c>
      <c r="AS82" s="300">
        <v>0</v>
      </c>
      <c r="AT82" s="300">
        <v>0</v>
      </c>
      <c r="AU82" s="300">
        <v>0</v>
      </c>
      <c r="AV82" s="300">
        <v>0</v>
      </c>
      <c r="AW82" s="300">
        <v>0</v>
      </c>
      <c r="AX82" s="300">
        <v>0</v>
      </c>
      <c r="AY82" s="300">
        <v>0</v>
      </c>
      <c r="AZ82" s="300">
        <v>0</v>
      </c>
      <c r="BA82" s="300">
        <v>0</v>
      </c>
      <c r="BB82" s="300">
        <v>0</v>
      </c>
      <c r="BC82" s="300">
        <v>0</v>
      </c>
      <c r="BD82" s="300">
        <v>0</v>
      </c>
      <c r="BE82" s="300">
        <v>0</v>
      </c>
      <c r="BF82" s="300">
        <v>0</v>
      </c>
      <c r="BG82" s="300">
        <v>0</v>
      </c>
      <c r="BH82" s="300">
        <v>0</v>
      </c>
      <c r="BI82" s="300">
        <v>0</v>
      </c>
      <c r="BJ82" s="300">
        <v>0</v>
      </c>
      <c r="BK82" s="299">
        <v>0</v>
      </c>
      <c r="BL82" s="299">
        <v>0</v>
      </c>
      <c r="BM82" s="299">
        <v>0</v>
      </c>
      <c r="BN82" s="299">
        <v>0</v>
      </c>
      <c r="BO82" s="300">
        <v>0</v>
      </c>
      <c r="BP82" s="300">
        <v>0</v>
      </c>
      <c r="BQ82" s="300">
        <v>0</v>
      </c>
      <c r="BR82" s="300">
        <v>0</v>
      </c>
      <c r="BS82" s="300">
        <v>0</v>
      </c>
      <c r="BT82" s="300">
        <v>0</v>
      </c>
      <c r="BU82" s="300">
        <v>0</v>
      </c>
      <c r="BV82" s="300">
        <v>0</v>
      </c>
      <c r="BW82" s="300">
        <v>0</v>
      </c>
      <c r="BX82" s="300">
        <v>0</v>
      </c>
      <c r="BY82" s="300">
        <v>0</v>
      </c>
      <c r="BZ82" s="300">
        <v>0</v>
      </c>
      <c r="CA82" s="300">
        <v>0</v>
      </c>
      <c r="CB82" s="300">
        <v>0</v>
      </c>
      <c r="CC82" s="300">
        <v>0</v>
      </c>
      <c r="CD82" s="300">
        <v>0</v>
      </c>
      <c r="CE82" s="300">
        <v>0</v>
      </c>
      <c r="CF82" s="300">
        <v>0</v>
      </c>
      <c r="CG82" s="300">
        <v>0</v>
      </c>
      <c r="CH82" s="300">
        <v>0</v>
      </c>
      <c r="CI82" s="300">
        <v>0</v>
      </c>
      <c r="CJ82" s="300">
        <v>0</v>
      </c>
      <c r="CK82" s="300">
        <v>0</v>
      </c>
      <c r="CL82" s="300">
        <v>0</v>
      </c>
      <c r="CM82" s="300">
        <v>0</v>
      </c>
      <c r="CN82" s="300">
        <v>0</v>
      </c>
      <c r="CO82" s="300">
        <v>0</v>
      </c>
      <c r="CP82" s="300">
        <v>0</v>
      </c>
      <c r="CQ82" s="300">
        <v>0</v>
      </c>
      <c r="CR82" s="300">
        <v>0</v>
      </c>
      <c r="CS82" s="300">
        <v>0</v>
      </c>
      <c r="CT82" s="300">
        <v>0</v>
      </c>
      <c r="CU82" s="300">
        <v>0</v>
      </c>
      <c r="CV82" s="300">
        <v>0</v>
      </c>
      <c r="CW82" s="300">
        <v>0</v>
      </c>
      <c r="CX82" s="300">
        <v>0</v>
      </c>
      <c r="CY82" s="300">
        <v>0</v>
      </c>
      <c r="CZ82" s="300">
        <v>0</v>
      </c>
      <c r="DA82" s="300">
        <v>0</v>
      </c>
      <c r="DB82" s="300">
        <v>0</v>
      </c>
      <c r="DC82" s="300">
        <v>0</v>
      </c>
      <c r="DD82" s="300">
        <v>0</v>
      </c>
      <c r="DE82" s="300">
        <v>0</v>
      </c>
      <c r="DF82" s="300">
        <v>0</v>
      </c>
      <c r="DG82" s="300">
        <v>0</v>
      </c>
      <c r="DH82" s="300">
        <v>0</v>
      </c>
      <c r="DI82" s="300">
        <v>0</v>
      </c>
      <c r="DJ82" s="300">
        <v>0</v>
      </c>
      <c r="DK82" s="300">
        <v>0</v>
      </c>
      <c r="DL82" s="300">
        <v>0</v>
      </c>
      <c r="DM82" s="300">
        <v>0</v>
      </c>
      <c r="DN82" s="300">
        <v>0</v>
      </c>
      <c r="DO82" s="300">
        <v>0</v>
      </c>
      <c r="DP82" s="300">
        <v>0</v>
      </c>
      <c r="DQ82" s="300">
        <v>0</v>
      </c>
      <c r="DR82" s="300">
        <v>0</v>
      </c>
      <c r="DS82" s="300">
        <f t="shared" si="130"/>
        <v>12142857.142857144</v>
      </c>
      <c r="DT82" s="300">
        <v>0</v>
      </c>
      <c r="DU82" s="300">
        <v>0</v>
      </c>
      <c r="DV82" s="300">
        <v>0</v>
      </c>
      <c r="DW82" s="311">
        <f t="shared" si="92"/>
        <v>189999999.99999997</v>
      </c>
      <c r="DX82" s="311">
        <f t="shared" si="92"/>
        <v>107198746.61428571</v>
      </c>
      <c r="DY82" s="311">
        <f t="shared" si="92"/>
        <v>32752628.142857142</v>
      </c>
      <c r="DZ82" s="311">
        <f t="shared" si="92"/>
        <v>26033621.285714287</v>
      </c>
      <c r="EA82" s="302">
        <f>+SUM(DW76:DW82)-B76</f>
        <v>0</v>
      </c>
    </row>
    <row r="83" spans="1:132" ht="45.75" customHeight="1" x14ac:dyDescent="0.2">
      <c r="A83" s="303" t="s">
        <v>2060</v>
      </c>
      <c r="B83" s="290">
        <f>SUM(B84:B93)</f>
        <v>5301814681.4400005</v>
      </c>
      <c r="C83" s="290">
        <f t="shared" ref="C83:DV83" si="131">SUM(C84:C93)</f>
        <v>3116000000</v>
      </c>
      <c r="D83" s="290">
        <f t="shared" si="131"/>
        <v>3094184930</v>
      </c>
      <c r="E83" s="290">
        <f t="shared" si="131"/>
        <v>313637950.16000003</v>
      </c>
      <c r="F83" s="290">
        <f t="shared" si="131"/>
        <v>306079097.93000001</v>
      </c>
      <c r="G83" s="290">
        <f>SUM(G84:G93)</f>
        <v>82000000</v>
      </c>
      <c r="H83" s="290">
        <f>SUM(H84:H93)</f>
        <v>53041998.969999999</v>
      </c>
      <c r="I83" s="290">
        <f t="shared" si="131"/>
        <v>20355882.969999999</v>
      </c>
      <c r="J83" s="290">
        <f t="shared" si="131"/>
        <v>14782002.970000001</v>
      </c>
      <c r="K83" s="290">
        <f t="shared" si="131"/>
        <v>0</v>
      </c>
      <c r="L83" s="290">
        <f t="shared" si="131"/>
        <v>0</v>
      </c>
      <c r="M83" s="290">
        <f t="shared" si="131"/>
        <v>0</v>
      </c>
      <c r="N83" s="290">
        <f t="shared" si="131"/>
        <v>0</v>
      </c>
      <c r="O83" s="290">
        <f t="shared" si="131"/>
        <v>0</v>
      </c>
      <c r="P83" s="290">
        <f t="shared" si="131"/>
        <v>0</v>
      </c>
      <c r="Q83" s="290">
        <f t="shared" si="131"/>
        <v>0</v>
      </c>
      <c r="R83" s="290">
        <f t="shared" si="131"/>
        <v>0</v>
      </c>
      <c r="S83" s="290">
        <f t="shared" si="131"/>
        <v>0</v>
      </c>
      <c r="T83" s="290">
        <f t="shared" si="131"/>
        <v>0</v>
      </c>
      <c r="U83" s="290">
        <f t="shared" si="131"/>
        <v>0</v>
      </c>
      <c r="V83" s="290">
        <f t="shared" si="131"/>
        <v>0</v>
      </c>
      <c r="W83" s="290">
        <f t="shared" si="131"/>
        <v>0</v>
      </c>
      <c r="X83" s="290">
        <f t="shared" si="131"/>
        <v>0</v>
      </c>
      <c r="Y83" s="290">
        <f t="shared" si="131"/>
        <v>0</v>
      </c>
      <c r="Z83" s="290">
        <f t="shared" si="131"/>
        <v>0</v>
      </c>
      <c r="AA83" s="290">
        <f t="shared" si="131"/>
        <v>0</v>
      </c>
      <c r="AB83" s="290">
        <f t="shared" si="131"/>
        <v>0</v>
      </c>
      <c r="AC83" s="290">
        <f t="shared" si="131"/>
        <v>0</v>
      </c>
      <c r="AD83" s="290">
        <f t="shared" si="131"/>
        <v>0</v>
      </c>
      <c r="AE83" s="290">
        <f t="shared" si="131"/>
        <v>0</v>
      </c>
      <c r="AF83" s="290">
        <f t="shared" si="131"/>
        <v>0</v>
      </c>
      <c r="AG83" s="290">
        <f t="shared" si="131"/>
        <v>0</v>
      </c>
      <c r="AH83" s="290">
        <f t="shared" si="131"/>
        <v>0</v>
      </c>
      <c r="AI83" s="290">
        <f t="shared" si="131"/>
        <v>0</v>
      </c>
      <c r="AJ83" s="290">
        <f t="shared" si="131"/>
        <v>0</v>
      </c>
      <c r="AK83" s="290">
        <f t="shared" si="131"/>
        <v>0</v>
      </c>
      <c r="AL83" s="290">
        <f t="shared" si="131"/>
        <v>0</v>
      </c>
      <c r="AM83" s="290">
        <f t="shared" si="131"/>
        <v>0</v>
      </c>
      <c r="AN83" s="290">
        <f t="shared" si="131"/>
        <v>0</v>
      </c>
      <c r="AO83" s="290">
        <f t="shared" si="131"/>
        <v>0</v>
      </c>
      <c r="AP83" s="290">
        <f t="shared" si="131"/>
        <v>0</v>
      </c>
      <c r="AQ83" s="290">
        <f t="shared" si="131"/>
        <v>0</v>
      </c>
      <c r="AR83" s="290">
        <f t="shared" si="131"/>
        <v>0</v>
      </c>
      <c r="AS83" s="290">
        <f t="shared" si="131"/>
        <v>0</v>
      </c>
      <c r="AT83" s="290">
        <f t="shared" si="131"/>
        <v>0</v>
      </c>
      <c r="AU83" s="290">
        <f t="shared" si="131"/>
        <v>560000000</v>
      </c>
      <c r="AV83" s="290">
        <f t="shared" si="131"/>
        <v>560000000</v>
      </c>
      <c r="AW83" s="290">
        <f t="shared" si="131"/>
        <v>0</v>
      </c>
      <c r="AX83" s="290">
        <f t="shared" si="131"/>
        <v>0</v>
      </c>
      <c r="AY83" s="290">
        <f t="shared" si="131"/>
        <v>0</v>
      </c>
      <c r="AZ83" s="290">
        <f t="shared" si="131"/>
        <v>0</v>
      </c>
      <c r="BA83" s="290">
        <f t="shared" si="131"/>
        <v>0</v>
      </c>
      <c r="BB83" s="290">
        <f t="shared" si="131"/>
        <v>0</v>
      </c>
      <c r="BC83" s="290">
        <f t="shared" si="131"/>
        <v>1243814681.4400001</v>
      </c>
      <c r="BD83" s="290">
        <f t="shared" si="131"/>
        <v>0</v>
      </c>
      <c r="BE83" s="290">
        <f t="shared" si="131"/>
        <v>0</v>
      </c>
      <c r="BF83" s="290">
        <f t="shared" si="131"/>
        <v>0</v>
      </c>
      <c r="BG83" s="290">
        <f t="shared" si="131"/>
        <v>0</v>
      </c>
      <c r="BH83" s="290">
        <f t="shared" si="131"/>
        <v>0</v>
      </c>
      <c r="BI83" s="290">
        <f t="shared" si="131"/>
        <v>0</v>
      </c>
      <c r="BJ83" s="290">
        <f t="shared" si="131"/>
        <v>0</v>
      </c>
      <c r="BK83" s="290">
        <f t="shared" si="131"/>
        <v>0</v>
      </c>
      <c r="BL83" s="290">
        <f t="shared" si="131"/>
        <v>0</v>
      </c>
      <c r="BM83" s="290">
        <f t="shared" si="131"/>
        <v>0</v>
      </c>
      <c r="BN83" s="290">
        <f t="shared" si="131"/>
        <v>0</v>
      </c>
      <c r="BO83" s="290">
        <f t="shared" si="131"/>
        <v>0</v>
      </c>
      <c r="BP83" s="290">
        <f t="shared" si="131"/>
        <v>0</v>
      </c>
      <c r="BQ83" s="290">
        <f t="shared" si="131"/>
        <v>0</v>
      </c>
      <c r="BR83" s="290">
        <f t="shared" si="131"/>
        <v>0</v>
      </c>
      <c r="BS83" s="290">
        <f t="shared" si="131"/>
        <v>0</v>
      </c>
      <c r="BT83" s="290">
        <f t="shared" si="131"/>
        <v>0</v>
      </c>
      <c r="BU83" s="290">
        <f t="shared" si="131"/>
        <v>0</v>
      </c>
      <c r="BV83" s="290">
        <f t="shared" si="131"/>
        <v>0</v>
      </c>
      <c r="BW83" s="290">
        <f t="shared" si="131"/>
        <v>0</v>
      </c>
      <c r="BX83" s="290">
        <f t="shared" si="131"/>
        <v>0</v>
      </c>
      <c r="BY83" s="290">
        <f t="shared" si="131"/>
        <v>0</v>
      </c>
      <c r="BZ83" s="290">
        <f t="shared" si="131"/>
        <v>0</v>
      </c>
      <c r="CA83" s="290">
        <f t="shared" si="131"/>
        <v>0</v>
      </c>
      <c r="CB83" s="290">
        <f t="shared" si="131"/>
        <v>0</v>
      </c>
      <c r="CC83" s="290">
        <f t="shared" si="131"/>
        <v>0</v>
      </c>
      <c r="CD83" s="290">
        <f t="shared" si="131"/>
        <v>0</v>
      </c>
      <c r="CE83" s="290">
        <f t="shared" si="131"/>
        <v>0</v>
      </c>
      <c r="CF83" s="290">
        <f t="shared" si="131"/>
        <v>0</v>
      </c>
      <c r="CG83" s="290">
        <f t="shared" si="131"/>
        <v>0</v>
      </c>
      <c r="CH83" s="290">
        <f t="shared" si="131"/>
        <v>0</v>
      </c>
      <c r="CI83" s="290">
        <f t="shared" si="131"/>
        <v>300000000</v>
      </c>
      <c r="CJ83" s="290">
        <f t="shared" si="131"/>
        <v>260884640</v>
      </c>
      <c r="CK83" s="290">
        <f t="shared" si="131"/>
        <v>38710656</v>
      </c>
      <c r="CL83" s="290">
        <f t="shared" si="131"/>
        <v>28403136</v>
      </c>
      <c r="CM83" s="290">
        <f t="shared" si="131"/>
        <v>0</v>
      </c>
      <c r="CN83" s="290">
        <f t="shared" si="131"/>
        <v>0</v>
      </c>
      <c r="CO83" s="290">
        <f t="shared" si="131"/>
        <v>0</v>
      </c>
      <c r="CP83" s="290">
        <f t="shared" si="131"/>
        <v>0</v>
      </c>
      <c r="CQ83" s="290">
        <f t="shared" si="131"/>
        <v>0</v>
      </c>
      <c r="CR83" s="290">
        <f t="shared" si="131"/>
        <v>0</v>
      </c>
      <c r="CS83" s="290">
        <f t="shared" si="131"/>
        <v>0</v>
      </c>
      <c r="CT83" s="290">
        <f t="shared" si="131"/>
        <v>0</v>
      </c>
      <c r="CU83" s="290">
        <f t="shared" si="131"/>
        <v>0</v>
      </c>
      <c r="CV83" s="290">
        <f t="shared" si="131"/>
        <v>0</v>
      </c>
      <c r="CW83" s="290">
        <f t="shared" si="131"/>
        <v>0</v>
      </c>
      <c r="CX83" s="290">
        <f t="shared" si="131"/>
        <v>0</v>
      </c>
      <c r="CY83" s="290">
        <f t="shared" si="131"/>
        <v>0</v>
      </c>
      <c r="CZ83" s="290">
        <f t="shared" si="131"/>
        <v>0</v>
      </c>
      <c r="DA83" s="290">
        <f t="shared" si="131"/>
        <v>0</v>
      </c>
      <c r="DB83" s="290">
        <f t="shared" si="131"/>
        <v>0</v>
      </c>
      <c r="DC83" s="290">
        <f t="shared" si="131"/>
        <v>0</v>
      </c>
      <c r="DD83" s="290">
        <f t="shared" si="131"/>
        <v>0</v>
      </c>
      <c r="DE83" s="290">
        <f t="shared" si="131"/>
        <v>0</v>
      </c>
      <c r="DF83" s="290">
        <f t="shared" si="131"/>
        <v>0</v>
      </c>
      <c r="DG83" s="290">
        <f t="shared" si="131"/>
        <v>0</v>
      </c>
      <c r="DH83" s="290">
        <f t="shared" si="131"/>
        <v>0</v>
      </c>
      <c r="DI83" s="290">
        <f t="shared" si="131"/>
        <v>0</v>
      </c>
      <c r="DJ83" s="290">
        <f t="shared" si="131"/>
        <v>0</v>
      </c>
      <c r="DK83" s="290">
        <f t="shared" si="131"/>
        <v>0</v>
      </c>
      <c r="DL83" s="290">
        <f t="shared" si="131"/>
        <v>0</v>
      </c>
      <c r="DM83" s="290">
        <f t="shared" si="131"/>
        <v>0</v>
      </c>
      <c r="DN83" s="290">
        <f t="shared" si="131"/>
        <v>0</v>
      </c>
      <c r="DO83" s="290">
        <f t="shared" si="131"/>
        <v>0</v>
      </c>
      <c r="DP83" s="290">
        <f t="shared" si="131"/>
        <v>0</v>
      </c>
      <c r="DQ83" s="290">
        <f t="shared" si="131"/>
        <v>0</v>
      </c>
      <c r="DR83" s="290">
        <f t="shared" si="131"/>
        <v>0</v>
      </c>
      <c r="DS83" s="290">
        <f t="shared" si="131"/>
        <v>0</v>
      </c>
      <c r="DT83" s="290">
        <f t="shared" si="131"/>
        <v>0</v>
      </c>
      <c r="DU83" s="290">
        <f t="shared" si="131"/>
        <v>0</v>
      </c>
      <c r="DV83" s="290">
        <f t="shared" si="131"/>
        <v>0</v>
      </c>
      <c r="DW83" s="286">
        <f t="shared" si="92"/>
        <v>5301814681.4400005</v>
      </c>
      <c r="DX83" s="286">
        <f t="shared" si="92"/>
        <v>3968111568.9699998</v>
      </c>
      <c r="DY83" s="286">
        <f t="shared" si="92"/>
        <v>372704489.13</v>
      </c>
      <c r="DZ83" s="286">
        <f t="shared" si="92"/>
        <v>349264236.90000004</v>
      </c>
      <c r="EA83" s="291">
        <f>+SUM(DW84:DW93)-DW83</f>
        <v>0</v>
      </c>
      <c r="EB83" s="292">
        <f>+DW83-B83</f>
        <v>0</v>
      </c>
    </row>
    <row r="84" spans="1:132" ht="45.75" customHeight="1" x14ac:dyDescent="0.2">
      <c r="A84" s="293" t="s">
        <v>2061</v>
      </c>
      <c r="B84" s="294">
        <f>DW83</f>
        <v>5301814681.4400005</v>
      </c>
      <c r="C84" s="295">
        <f>3116000000/8</f>
        <v>389500000</v>
      </c>
      <c r="D84" s="295">
        <f>3094184930/8</f>
        <v>386773116.25</v>
      </c>
      <c r="E84" s="295">
        <f>313637950.16/8</f>
        <v>39204743.770000003</v>
      </c>
      <c r="F84" s="295">
        <f>306079097.93/8</f>
        <v>38259887.241250001</v>
      </c>
      <c r="G84" s="295">
        <f>82000000/8</f>
        <v>10250000</v>
      </c>
      <c r="H84" s="295">
        <f>53041998.97/8</f>
        <v>6630249.8712499999</v>
      </c>
      <c r="I84" s="295">
        <f>20355882.97/8</f>
        <v>2544485.3712499999</v>
      </c>
      <c r="J84" s="295">
        <f>14782002.97/8</f>
        <v>1847750.3712500001</v>
      </c>
      <c r="K84" s="295">
        <v>0</v>
      </c>
      <c r="L84" s="295">
        <v>0</v>
      </c>
      <c r="M84" s="295">
        <v>0</v>
      </c>
      <c r="N84" s="295">
        <v>0</v>
      </c>
      <c r="O84" s="295">
        <v>0</v>
      </c>
      <c r="P84" s="295">
        <v>0</v>
      </c>
      <c r="Q84" s="295">
        <v>0</v>
      </c>
      <c r="R84" s="295">
        <v>0</v>
      </c>
      <c r="S84" s="295">
        <v>0</v>
      </c>
      <c r="T84" s="295">
        <v>0</v>
      </c>
      <c r="U84" s="295">
        <v>0</v>
      </c>
      <c r="V84" s="295">
        <v>0</v>
      </c>
      <c r="W84" s="295">
        <v>0</v>
      </c>
      <c r="X84" s="295">
        <v>0</v>
      </c>
      <c r="Y84" s="295">
        <v>0</v>
      </c>
      <c r="Z84" s="295">
        <v>0</v>
      </c>
      <c r="AA84" s="295">
        <v>0</v>
      </c>
      <c r="AB84" s="295">
        <v>0</v>
      </c>
      <c r="AC84" s="295">
        <v>0</v>
      </c>
      <c r="AD84" s="295">
        <v>0</v>
      </c>
      <c r="AE84" s="295">
        <v>0</v>
      </c>
      <c r="AF84" s="295">
        <v>0</v>
      </c>
      <c r="AG84" s="295">
        <v>0</v>
      </c>
      <c r="AH84" s="295">
        <v>0</v>
      </c>
      <c r="AI84" s="295">
        <v>0</v>
      </c>
      <c r="AJ84" s="295">
        <v>0</v>
      </c>
      <c r="AK84" s="295">
        <v>0</v>
      </c>
      <c r="AL84" s="295">
        <v>0</v>
      </c>
      <c r="AM84" s="295">
        <v>0</v>
      </c>
      <c r="AN84" s="295">
        <v>0</v>
      </c>
      <c r="AO84" s="295">
        <v>0</v>
      </c>
      <c r="AP84" s="295">
        <v>0</v>
      </c>
      <c r="AQ84" s="295">
        <v>0</v>
      </c>
      <c r="AR84" s="295">
        <v>0</v>
      </c>
      <c r="AS84" s="295">
        <v>0</v>
      </c>
      <c r="AT84" s="295">
        <v>0</v>
      </c>
      <c r="AU84" s="295">
        <f>560000000/8</f>
        <v>70000000</v>
      </c>
      <c r="AV84" s="295">
        <f>560000000/8</f>
        <v>70000000</v>
      </c>
      <c r="AW84" s="295">
        <v>0</v>
      </c>
      <c r="AX84" s="295">
        <v>0</v>
      </c>
      <c r="AY84" s="295">
        <v>0</v>
      </c>
      <c r="AZ84" s="295">
        <v>0</v>
      </c>
      <c r="BA84" s="295">
        <v>0</v>
      </c>
      <c r="BB84" s="295">
        <v>0</v>
      </c>
      <c r="BC84" s="295">
        <v>1243814681.4400001</v>
      </c>
      <c r="BD84" s="295"/>
      <c r="BE84" s="295"/>
      <c r="BF84" s="295"/>
      <c r="BG84" s="295">
        <v>0</v>
      </c>
      <c r="BH84" s="295">
        <v>0</v>
      </c>
      <c r="BI84" s="295">
        <v>0</v>
      </c>
      <c r="BJ84" s="295">
        <v>0</v>
      </c>
      <c r="BK84" s="295">
        <v>0</v>
      </c>
      <c r="BL84" s="295">
        <v>0</v>
      </c>
      <c r="BM84" s="295">
        <v>0</v>
      </c>
      <c r="BN84" s="295">
        <v>0</v>
      </c>
      <c r="BO84" s="295">
        <v>0</v>
      </c>
      <c r="BP84" s="295">
        <v>0</v>
      </c>
      <c r="BQ84" s="295">
        <v>0</v>
      </c>
      <c r="BR84" s="295">
        <v>0</v>
      </c>
      <c r="BS84" s="295">
        <v>0</v>
      </c>
      <c r="BT84" s="295">
        <v>0</v>
      </c>
      <c r="BU84" s="295">
        <v>0</v>
      </c>
      <c r="BV84" s="295">
        <v>0</v>
      </c>
      <c r="BW84" s="295">
        <v>0</v>
      </c>
      <c r="BX84" s="295">
        <v>0</v>
      </c>
      <c r="BY84" s="295">
        <v>0</v>
      </c>
      <c r="BZ84" s="295">
        <v>0</v>
      </c>
      <c r="CA84" s="295">
        <v>0</v>
      </c>
      <c r="CB84" s="295">
        <v>0</v>
      </c>
      <c r="CC84" s="295">
        <v>0</v>
      </c>
      <c r="CD84" s="295">
        <v>0</v>
      </c>
      <c r="CE84" s="295">
        <v>0</v>
      </c>
      <c r="CF84" s="295">
        <v>0</v>
      </c>
      <c r="CG84" s="295">
        <v>0</v>
      </c>
      <c r="CH84" s="295">
        <v>0</v>
      </c>
      <c r="CI84" s="295">
        <f>300000000/8</f>
        <v>37500000</v>
      </c>
      <c r="CJ84" s="295">
        <f>260884640/8</f>
        <v>32610580</v>
      </c>
      <c r="CK84" s="295">
        <f>38710656/8</f>
        <v>4838832</v>
      </c>
      <c r="CL84" s="295">
        <f>28403136/8</f>
        <v>3550392</v>
      </c>
      <c r="CM84" s="295">
        <v>0</v>
      </c>
      <c r="CN84" s="295">
        <v>0</v>
      </c>
      <c r="CO84" s="295">
        <v>0</v>
      </c>
      <c r="CP84" s="295">
        <v>0</v>
      </c>
      <c r="CQ84" s="295">
        <v>0</v>
      </c>
      <c r="CR84" s="295">
        <v>0</v>
      </c>
      <c r="CS84" s="295">
        <v>0</v>
      </c>
      <c r="CT84" s="295">
        <v>0</v>
      </c>
      <c r="CU84" s="295">
        <v>0</v>
      </c>
      <c r="CV84" s="295">
        <v>0</v>
      </c>
      <c r="CW84" s="295">
        <v>0</v>
      </c>
      <c r="CX84" s="295">
        <v>0</v>
      </c>
      <c r="CY84" s="295">
        <v>0</v>
      </c>
      <c r="CZ84" s="295">
        <v>0</v>
      </c>
      <c r="DA84" s="295">
        <v>0</v>
      </c>
      <c r="DB84" s="295">
        <v>0</v>
      </c>
      <c r="DC84" s="295">
        <v>0</v>
      </c>
      <c r="DD84" s="295">
        <v>0</v>
      </c>
      <c r="DE84" s="295">
        <v>0</v>
      </c>
      <c r="DF84" s="295">
        <v>0</v>
      </c>
      <c r="DG84" s="295">
        <v>0</v>
      </c>
      <c r="DH84" s="295">
        <v>0</v>
      </c>
      <c r="DI84" s="295">
        <v>0</v>
      </c>
      <c r="DJ84" s="295">
        <v>0</v>
      </c>
      <c r="DK84" s="295">
        <v>0</v>
      </c>
      <c r="DL84" s="295">
        <v>0</v>
      </c>
      <c r="DM84" s="295">
        <v>0</v>
      </c>
      <c r="DN84" s="295">
        <v>0</v>
      </c>
      <c r="DO84" s="295">
        <v>0</v>
      </c>
      <c r="DP84" s="295">
        <v>0</v>
      </c>
      <c r="DQ84" s="295">
        <v>0</v>
      </c>
      <c r="DR84" s="295">
        <v>0</v>
      </c>
      <c r="DS84" s="295">
        <v>0</v>
      </c>
      <c r="DT84" s="295">
        <v>0</v>
      </c>
      <c r="DU84" s="295">
        <v>0</v>
      </c>
      <c r="DV84" s="295">
        <v>0</v>
      </c>
      <c r="DW84" s="311">
        <f t="shared" si="92"/>
        <v>1751064681.4400001</v>
      </c>
      <c r="DX84" s="311">
        <f t="shared" si="92"/>
        <v>496013946.12124997</v>
      </c>
      <c r="DY84" s="311">
        <f t="shared" si="92"/>
        <v>46588061.141249999</v>
      </c>
      <c r="DZ84" s="311">
        <f t="shared" si="92"/>
        <v>43658029.612500004</v>
      </c>
      <c r="EA84" s="287"/>
    </row>
    <row r="85" spans="1:132" ht="45.75" customHeight="1" x14ac:dyDescent="0.2">
      <c r="A85" s="293" t="s">
        <v>2062</v>
      </c>
      <c r="B85" s="298"/>
      <c r="C85" s="295">
        <f>3116000000/8</f>
        <v>389500000</v>
      </c>
      <c r="D85" s="295">
        <f>3094184930/8</f>
        <v>386773116.25</v>
      </c>
      <c r="E85" s="295">
        <f>313637950.16/8</f>
        <v>39204743.770000003</v>
      </c>
      <c r="F85" s="295">
        <f>306079097.93/8</f>
        <v>38259887.241250001</v>
      </c>
      <c r="G85" s="295">
        <f>82000000/8</f>
        <v>10250000</v>
      </c>
      <c r="H85" s="295">
        <f>53041998.97/8</f>
        <v>6630249.8712499999</v>
      </c>
      <c r="I85" s="295">
        <f>20355882.97/8</f>
        <v>2544485.3712499999</v>
      </c>
      <c r="J85" s="295">
        <f>14782002.97/8</f>
        <v>1847750.3712500001</v>
      </c>
      <c r="K85" s="295">
        <v>0</v>
      </c>
      <c r="L85" s="295">
        <v>0</v>
      </c>
      <c r="M85" s="295">
        <v>0</v>
      </c>
      <c r="N85" s="295">
        <v>0</v>
      </c>
      <c r="O85" s="295">
        <v>0</v>
      </c>
      <c r="P85" s="295">
        <v>0</v>
      </c>
      <c r="Q85" s="295">
        <v>0</v>
      </c>
      <c r="R85" s="295">
        <v>0</v>
      </c>
      <c r="S85" s="295">
        <v>0</v>
      </c>
      <c r="T85" s="295">
        <v>0</v>
      </c>
      <c r="U85" s="295">
        <v>0</v>
      </c>
      <c r="V85" s="295">
        <v>0</v>
      </c>
      <c r="W85" s="295">
        <v>0</v>
      </c>
      <c r="X85" s="295">
        <v>0</v>
      </c>
      <c r="Y85" s="295">
        <v>0</v>
      </c>
      <c r="Z85" s="295">
        <v>0</v>
      </c>
      <c r="AA85" s="295">
        <v>0</v>
      </c>
      <c r="AB85" s="295">
        <v>0</v>
      </c>
      <c r="AC85" s="295">
        <v>0</v>
      </c>
      <c r="AD85" s="295">
        <v>0</v>
      </c>
      <c r="AE85" s="295">
        <v>0</v>
      </c>
      <c r="AF85" s="295">
        <v>0</v>
      </c>
      <c r="AG85" s="295">
        <v>0</v>
      </c>
      <c r="AH85" s="295">
        <v>0</v>
      </c>
      <c r="AI85" s="295">
        <v>0</v>
      </c>
      <c r="AJ85" s="295">
        <v>0</v>
      </c>
      <c r="AK85" s="295">
        <v>0</v>
      </c>
      <c r="AL85" s="295">
        <v>0</v>
      </c>
      <c r="AM85" s="295">
        <v>0</v>
      </c>
      <c r="AN85" s="295">
        <v>0</v>
      </c>
      <c r="AO85" s="295">
        <v>0</v>
      </c>
      <c r="AP85" s="295">
        <v>0</v>
      </c>
      <c r="AQ85" s="295">
        <v>0</v>
      </c>
      <c r="AR85" s="295">
        <v>0</v>
      </c>
      <c r="AS85" s="295">
        <v>0</v>
      </c>
      <c r="AT85" s="295">
        <v>0</v>
      </c>
      <c r="AU85" s="295">
        <f t="shared" ref="AU85:AV93" si="132">560000000/8</f>
        <v>70000000</v>
      </c>
      <c r="AV85" s="295">
        <f t="shared" si="132"/>
        <v>70000000</v>
      </c>
      <c r="AW85" s="295"/>
      <c r="AX85" s="295"/>
      <c r="AY85" s="295">
        <v>0</v>
      </c>
      <c r="AZ85" s="295">
        <v>0</v>
      </c>
      <c r="BA85" s="295">
        <v>0</v>
      </c>
      <c r="BB85" s="295">
        <v>0</v>
      </c>
      <c r="BC85" s="295"/>
      <c r="BD85" s="295"/>
      <c r="BE85" s="295"/>
      <c r="BF85" s="295"/>
      <c r="BG85" s="295">
        <v>0</v>
      </c>
      <c r="BH85" s="295">
        <v>0</v>
      </c>
      <c r="BI85" s="295">
        <v>0</v>
      </c>
      <c r="BJ85" s="295">
        <v>0</v>
      </c>
      <c r="BK85" s="295">
        <v>0</v>
      </c>
      <c r="BL85" s="295">
        <v>0</v>
      </c>
      <c r="BM85" s="295">
        <v>0</v>
      </c>
      <c r="BN85" s="295">
        <v>0</v>
      </c>
      <c r="BO85" s="295">
        <v>0</v>
      </c>
      <c r="BP85" s="295">
        <v>0</v>
      </c>
      <c r="BQ85" s="295">
        <v>0</v>
      </c>
      <c r="BR85" s="295">
        <v>0</v>
      </c>
      <c r="BS85" s="295">
        <v>0</v>
      </c>
      <c r="BT85" s="295">
        <v>0</v>
      </c>
      <c r="BU85" s="295">
        <v>0</v>
      </c>
      <c r="BV85" s="295">
        <v>0</v>
      </c>
      <c r="BW85" s="295">
        <v>0</v>
      </c>
      <c r="BX85" s="295">
        <v>0</v>
      </c>
      <c r="BY85" s="295">
        <v>0</v>
      </c>
      <c r="BZ85" s="295">
        <v>0</v>
      </c>
      <c r="CA85" s="295">
        <v>0</v>
      </c>
      <c r="CB85" s="295">
        <v>0</v>
      </c>
      <c r="CC85" s="295">
        <v>0</v>
      </c>
      <c r="CD85" s="295">
        <v>0</v>
      </c>
      <c r="CE85" s="295">
        <v>0</v>
      </c>
      <c r="CF85" s="295">
        <v>0</v>
      </c>
      <c r="CG85" s="295">
        <v>0</v>
      </c>
      <c r="CH85" s="295">
        <v>0</v>
      </c>
      <c r="CI85" s="295">
        <f>300000000/8</f>
        <v>37500000</v>
      </c>
      <c r="CJ85" s="295">
        <f>260884640/8</f>
        <v>32610580</v>
      </c>
      <c r="CK85" s="295">
        <f>38710656/8</f>
        <v>4838832</v>
      </c>
      <c r="CL85" s="295">
        <f>28403136/8</f>
        <v>3550392</v>
      </c>
      <c r="CM85" s="295">
        <v>0</v>
      </c>
      <c r="CN85" s="295">
        <v>0</v>
      </c>
      <c r="CO85" s="295">
        <v>0</v>
      </c>
      <c r="CP85" s="295">
        <v>0</v>
      </c>
      <c r="CQ85" s="295">
        <v>0</v>
      </c>
      <c r="CR85" s="295">
        <v>0</v>
      </c>
      <c r="CS85" s="295">
        <v>0</v>
      </c>
      <c r="CT85" s="295">
        <v>0</v>
      </c>
      <c r="CU85" s="295">
        <v>0</v>
      </c>
      <c r="CV85" s="295">
        <v>0</v>
      </c>
      <c r="CW85" s="295">
        <v>0</v>
      </c>
      <c r="CX85" s="295">
        <v>0</v>
      </c>
      <c r="CY85" s="295">
        <v>0</v>
      </c>
      <c r="CZ85" s="295">
        <v>0</v>
      </c>
      <c r="DA85" s="295">
        <v>0</v>
      </c>
      <c r="DB85" s="295">
        <v>0</v>
      </c>
      <c r="DC85" s="295">
        <v>0</v>
      </c>
      <c r="DD85" s="295">
        <v>0</v>
      </c>
      <c r="DE85" s="295">
        <v>0</v>
      </c>
      <c r="DF85" s="295">
        <v>0</v>
      </c>
      <c r="DG85" s="295">
        <v>0</v>
      </c>
      <c r="DH85" s="295">
        <v>0</v>
      </c>
      <c r="DI85" s="295">
        <v>0</v>
      </c>
      <c r="DJ85" s="295">
        <v>0</v>
      </c>
      <c r="DK85" s="295">
        <v>0</v>
      </c>
      <c r="DL85" s="295">
        <v>0</v>
      </c>
      <c r="DM85" s="295">
        <v>0</v>
      </c>
      <c r="DN85" s="295">
        <v>0</v>
      </c>
      <c r="DO85" s="295">
        <v>0</v>
      </c>
      <c r="DP85" s="295">
        <v>0</v>
      </c>
      <c r="DQ85" s="295">
        <v>0</v>
      </c>
      <c r="DR85" s="295">
        <v>0</v>
      </c>
      <c r="DS85" s="295">
        <v>0</v>
      </c>
      <c r="DT85" s="295">
        <v>0</v>
      </c>
      <c r="DU85" s="295">
        <v>0</v>
      </c>
      <c r="DV85" s="295">
        <v>0</v>
      </c>
      <c r="DW85" s="311">
        <f t="shared" si="92"/>
        <v>507250000</v>
      </c>
      <c r="DX85" s="311">
        <f t="shared" si="92"/>
        <v>496013946.12124997</v>
      </c>
      <c r="DY85" s="311">
        <f t="shared" si="92"/>
        <v>46588061.141249999</v>
      </c>
      <c r="DZ85" s="311">
        <f t="shared" si="92"/>
        <v>43658029.612500004</v>
      </c>
      <c r="EA85" s="287"/>
    </row>
    <row r="86" spans="1:132" ht="45.75" customHeight="1" x14ac:dyDescent="0.2">
      <c r="A86" s="293" t="s">
        <v>2063</v>
      </c>
      <c r="B86" s="298"/>
      <c r="C86" s="295">
        <v>0</v>
      </c>
      <c r="D86" s="295">
        <v>0</v>
      </c>
      <c r="E86" s="295">
        <v>0</v>
      </c>
      <c r="F86" s="295">
        <v>0</v>
      </c>
      <c r="G86" s="295">
        <v>0</v>
      </c>
      <c r="H86" s="295">
        <v>0</v>
      </c>
      <c r="I86" s="295">
        <v>0</v>
      </c>
      <c r="J86" s="295">
        <v>0</v>
      </c>
      <c r="K86" s="295">
        <v>0</v>
      </c>
      <c r="L86" s="295">
        <v>0</v>
      </c>
      <c r="M86" s="295">
        <v>0</v>
      </c>
      <c r="N86" s="295">
        <v>0</v>
      </c>
      <c r="O86" s="295">
        <v>0</v>
      </c>
      <c r="P86" s="295">
        <v>0</v>
      </c>
      <c r="Q86" s="295">
        <v>0</v>
      </c>
      <c r="R86" s="295">
        <v>0</v>
      </c>
      <c r="S86" s="295">
        <v>0</v>
      </c>
      <c r="T86" s="295">
        <v>0</v>
      </c>
      <c r="U86" s="295">
        <v>0</v>
      </c>
      <c r="V86" s="295">
        <v>0</v>
      </c>
      <c r="W86" s="295">
        <v>0</v>
      </c>
      <c r="X86" s="295">
        <v>0</v>
      </c>
      <c r="Y86" s="295">
        <v>0</v>
      </c>
      <c r="Z86" s="295">
        <v>0</v>
      </c>
      <c r="AA86" s="295">
        <v>0</v>
      </c>
      <c r="AB86" s="295">
        <v>0</v>
      </c>
      <c r="AC86" s="295">
        <v>0</v>
      </c>
      <c r="AD86" s="295">
        <v>0</v>
      </c>
      <c r="AE86" s="295">
        <v>0</v>
      </c>
      <c r="AF86" s="295">
        <v>0</v>
      </c>
      <c r="AG86" s="295">
        <v>0</v>
      </c>
      <c r="AH86" s="295">
        <v>0</v>
      </c>
      <c r="AI86" s="295">
        <v>0</v>
      </c>
      <c r="AJ86" s="295">
        <v>0</v>
      </c>
      <c r="AK86" s="295">
        <v>0</v>
      </c>
      <c r="AL86" s="295">
        <v>0</v>
      </c>
      <c r="AM86" s="295">
        <v>0</v>
      </c>
      <c r="AN86" s="295">
        <v>0</v>
      </c>
      <c r="AO86" s="295">
        <v>0</v>
      </c>
      <c r="AP86" s="295">
        <v>0</v>
      </c>
      <c r="AQ86" s="295">
        <v>0</v>
      </c>
      <c r="AR86" s="295">
        <v>0</v>
      </c>
      <c r="AS86" s="295">
        <v>0</v>
      </c>
      <c r="AT86" s="295">
        <v>0</v>
      </c>
      <c r="AU86" s="295">
        <v>0</v>
      </c>
      <c r="AV86" s="295">
        <v>0</v>
      </c>
      <c r="AW86" s="295"/>
      <c r="AX86" s="295"/>
      <c r="AY86" s="295">
        <v>0</v>
      </c>
      <c r="AZ86" s="295">
        <v>0</v>
      </c>
      <c r="BA86" s="295">
        <v>0</v>
      </c>
      <c r="BB86" s="295">
        <v>0</v>
      </c>
      <c r="BC86" s="295">
        <v>0</v>
      </c>
      <c r="BD86" s="295">
        <v>0</v>
      </c>
      <c r="BE86" s="295">
        <v>0</v>
      </c>
      <c r="BF86" s="295">
        <v>0</v>
      </c>
      <c r="BG86" s="295">
        <v>0</v>
      </c>
      <c r="BH86" s="295">
        <v>0</v>
      </c>
      <c r="BI86" s="295">
        <v>0</v>
      </c>
      <c r="BJ86" s="295">
        <v>0</v>
      </c>
      <c r="BK86" s="295">
        <v>0</v>
      </c>
      <c r="BL86" s="295">
        <v>0</v>
      </c>
      <c r="BM86" s="295">
        <v>0</v>
      </c>
      <c r="BN86" s="295">
        <v>0</v>
      </c>
      <c r="BO86" s="295">
        <v>0</v>
      </c>
      <c r="BP86" s="295">
        <v>0</v>
      </c>
      <c r="BQ86" s="295">
        <v>0</v>
      </c>
      <c r="BR86" s="295">
        <v>0</v>
      </c>
      <c r="BS86" s="295">
        <v>0</v>
      </c>
      <c r="BT86" s="295">
        <v>0</v>
      </c>
      <c r="BU86" s="295">
        <v>0</v>
      </c>
      <c r="BV86" s="295">
        <v>0</v>
      </c>
      <c r="BW86" s="295">
        <v>0</v>
      </c>
      <c r="BX86" s="295">
        <v>0</v>
      </c>
      <c r="BY86" s="295">
        <v>0</v>
      </c>
      <c r="BZ86" s="295">
        <v>0</v>
      </c>
      <c r="CA86" s="295">
        <v>0</v>
      </c>
      <c r="CB86" s="295">
        <v>0</v>
      </c>
      <c r="CC86" s="295">
        <v>0</v>
      </c>
      <c r="CD86" s="295">
        <v>0</v>
      </c>
      <c r="CE86" s="295">
        <v>0</v>
      </c>
      <c r="CF86" s="295">
        <v>0</v>
      </c>
      <c r="CG86" s="295">
        <v>0</v>
      </c>
      <c r="CH86" s="295">
        <v>0</v>
      </c>
      <c r="CI86" s="295">
        <v>0</v>
      </c>
      <c r="CJ86" s="295">
        <v>0</v>
      </c>
      <c r="CK86" s="295">
        <v>0</v>
      </c>
      <c r="CL86" s="295">
        <v>0</v>
      </c>
      <c r="CM86" s="295">
        <v>0</v>
      </c>
      <c r="CN86" s="295">
        <v>0</v>
      </c>
      <c r="CO86" s="295">
        <v>0</v>
      </c>
      <c r="CP86" s="295">
        <v>0</v>
      </c>
      <c r="CQ86" s="295">
        <v>0</v>
      </c>
      <c r="CR86" s="295">
        <v>0</v>
      </c>
      <c r="CS86" s="295">
        <v>0</v>
      </c>
      <c r="CT86" s="295">
        <v>0</v>
      </c>
      <c r="CU86" s="295">
        <v>0</v>
      </c>
      <c r="CV86" s="295">
        <v>0</v>
      </c>
      <c r="CW86" s="295">
        <v>0</v>
      </c>
      <c r="CX86" s="295">
        <v>0</v>
      </c>
      <c r="CY86" s="295">
        <v>0</v>
      </c>
      <c r="CZ86" s="295">
        <v>0</v>
      </c>
      <c r="DA86" s="295">
        <v>0</v>
      </c>
      <c r="DB86" s="295">
        <v>0</v>
      </c>
      <c r="DC86" s="295">
        <v>0</v>
      </c>
      <c r="DD86" s="295">
        <v>0</v>
      </c>
      <c r="DE86" s="295">
        <v>0</v>
      </c>
      <c r="DF86" s="295">
        <v>0</v>
      </c>
      <c r="DG86" s="295">
        <v>0</v>
      </c>
      <c r="DH86" s="295">
        <v>0</v>
      </c>
      <c r="DI86" s="295">
        <v>0</v>
      </c>
      <c r="DJ86" s="295">
        <v>0</v>
      </c>
      <c r="DK86" s="295">
        <v>0</v>
      </c>
      <c r="DL86" s="295">
        <v>0</v>
      </c>
      <c r="DM86" s="295">
        <v>0</v>
      </c>
      <c r="DN86" s="295">
        <v>0</v>
      </c>
      <c r="DO86" s="295">
        <v>0</v>
      </c>
      <c r="DP86" s="295">
        <v>0</v>
      </c>
      <c r="DQ86" s="295">
        <v>0</v>
      </c>
      <c r="DR86" s="295">
        <v>0</v>
      </c>
      <c r="DS86" s="295">
        <v>0</v>
      </c>
      <c r="DT86" s="295">
        <v>0</v>
      </c>
      <c r="DU86" s="295">
        <v>0</v>
      </c>
      <c r="DV86" s="295">
        <v>0</v>
      </c>
      <c r="DW86" s="311">
        <f t="shared" si="92"/>
        <v>0</v>
      </c>
      <c r="DX86" s="296">
        <f t="shared" ref="DX86:DZ87" si="133">+D86+H86+L86+P86+T86+X86+AF86+AN86+AR86+AV86+AZ86+BD86+BH86+BL86+BP86+BT86+BX86+CB86+CF86+CJ86+CN86+CR86+CV86+CZ86+DD86+DH86+DL86+DP86+DT86</f>
        <v>0</v>
      </c>
      <c r="DY86" s="296">
        <f t="shared" si="133"/>
        <v>0</v>
      </c>
      <c r="DZ86" s="296">
        <f t="shared" si="133"/>
        <v>0</v>
      </c>
      <c r="EA86" s="287"/>
    </row>
    <row r="87" spans="1:132" ht="45.75" customHeight="1" x14ac:dyDescent="0.2">
      <c r="A87" s="293" t="s">
        <v>2064</v>
      </c>
      <c r="B87" s="298"/>
      <c r="C87" s="295">
        <v>0</v>
      </c>
      <c r="D87" s="295">
        <v>0</v>
      </c>
      <c r="E87" s="295">
        <v>0</v>
      </c>
      <c r="F87" s="295">
        <v>0</v>
      </c>
      <c r="G87" s="295">
        <v>0</v>
      </c>
      <c r="H87" s="295">
        <v>0</v>
      </c>
      <c r="I87" s="295">
        <v>0</v>
      </c>
      <c r="J87" s="295">
        <v>0</v>
      </c>
      <c r="K87" s="295">
        <v>0</v>
      </c>
      <c r="L87" s="295">
        <v>0</v>
      </c>
      <c r="M87" s="295">
        <v>0</v>
      </c>
      <c r="N87" s="295">
        <v>0</v>
      </c>
      <c r="O87" s="295">
        <v>0</v>
      </c>
      <c r="P87" s="295">
        <v>0</v>
      </c>
      <c r="Q87" s="295">
        <v>0</v>
      </c>
      <c r="R87" s="295">
        <v>0</v>
      </c>
      <c r="S87" s="295">
        <v>0</v>
      </c>
      <c r="T87" s="295">
        <v>0</v>
      </c>
      <c r="U87" s="295">
        <v>0</v>
      </c>
      <c r="V87" s="295">
        <v>0</v>
      </c>
      <c r="W87" s="295">
        <v>0</v>
      </c>
      <c r="X87" s="295">
        <v>0</v>
      </c>
      <c r="Y87" s="295">
        <v>0</v>
      </c>
      <c r="Z87" s="295">
        <v>0</v>
      </c>
      <c r="AA87" s="295">
        <v>0</v>
      </c>
      <c r="AB87" s="295">
        <v>0</v>
      </c>
      <c r="AC87" s="295">
        <v>0</v>
      </c>
      <c r="AD87" s="295">
        <v>0</v>
      </c>
      <c r="AE87" s="295">
        <v>0</v>
      </c>
      <c r="AF87" s="295">
        <v>0</v>
      </c>
      <c r="AG87" s="295">
        <v>0</v>
      </c>
      <c r="AH87" s="295">
        <v>0</v>
      </c>
      <c r="AI87" s="295">
        <v>0</v>
      </c>
      <c r="AJ87" s="295">
        <v>0</v>
      </c>
      <c r="AK87" s="295">
        <v>0</v>
      </c>
      <c r="AL87" s="295">
        <v>0</v>
      </c>
      <c r="AM87" s="295">
        <v>0</v>
      </c>
      <c r="AN87" s="295">
        <v>0</v>
      </c>
      <c r="AO87" s="295">
        <v>0</v>
      </c>
      <c r="AP87" s="295">
        <v>0</v>
      </c>
      <c r="AQ87" s="295">
        <v>0</v>
      </c>
      <c r="AR87" s="295">
        <v>0</v>
      </c>
      <c r="AS87" s="295">
        <v>0</v>
      </c>
      <c r="AT87" s="295">
        <v>0</v>
      </c>
      <c r="AU87" s="295">
        <v>0</v>
      </c>
      <c r="AV87" s="295">
        <v>0</v>
      </c>
      <c r="AW87" s="295"/>
      <c r="AX87" s="295"/>
      <c r="AY87" s="295">
        <v>0</v>
      </c>
      <c r="AZ87" s="295">
        <v>0</v>
      </c>
      <c r="BA87" s="295">
        <v>0</v>
      </c>
      <c r="BB87" s="295">
        <v>0</v>
      </c>
      <c r="BC87" s="295">
        <v>0</v>
      </c>
      <c r="BD87" s="295">
        <v>0</v>
      </c>
      <c r="BE87" s="295">
        <v>0</v>
      </c>
      <c r="BF87" s="295">
        <v>0</v>
      </c>
      <c r="BG87" s="295">
        <v>0</v>
      </c>
      <c r="BH87" s="295">
        <v>0</v>
      </c>
      <c r="BI87" s="295">
        <v>0</v>
      </c>
      <c r="BJ87" s="295">
        <v>0</v>
      </c>
      <c r="BK87" s="295">
        <v>0</v>
      </c>
      <c r="BL87" s="295">
        <v>0</v>
      </c>
      <c r="BM87" s="295">
        <v>0</v>
      </c>
      <c r="BN87" s="295">
        <v>0</v>
      </c>
      <c r="BO87" s="295">
        <v>0</v>
      </c>
      <c r="BP87" s="295">
        <v>0</v>
      </c>
      <c r="BQ87" s="295">
        <v>0</v>
      </c>
      <c r="BR87" s="295">
        <v>0</v>
      </c>
      <c r="BS87" s="295">
        <v>0</v>
      </c>
      <c r="BT87" s="295">
        <v>0</v>
      </c>
      <c r="BU87" s="295">
        <v>0</v>
      </c>
      <c r="BV87" s="295">
        <v>0</v>
      </c>
      <c r="BW87" s="295">
        <v>0</v>
      </c>
      <c r="BX87" s="295">
        <v>0</v>
      </c>
      <c r="BY87" s="295">
        <v>0</v>
      </c>
      <c r="BZ87" s="295">
        <v>0</v>
      </c>
      <c r="CA87" s="295">
        <v>0</v>
      </c>
      <c r="CB87" s="295">
        <v>0</v>
      </c>
      <c r="CC87" s="295">
        <v>0</v>
      </c>
      <c r="CD87" s="295">
        <v>0</v>
      </c>
      <c r="CE87" s="295">
        <v>0</v>
      </c>
      <c r="CF87" s="295">
        <v>0</v>
      </c>
      <c r="CG87" s="295">
        <v>0</v>
      </c>
      <c r="CH87" s="295">
        <v>0</v>
      </c>
      <c r="CI87" s="295"/>
      <c r="CJ87" s="295">
        <v>0</v>
      </c>
      <c r="CK87" s="295">
        <v>0</v>
      </c>
      <c r="CL87" s="295">
        <v>0</v>
      </c>
      <c r="CM87" s="295">
        <v>0</v>
      </c>
      <c r="CN87" s="295">
        <v>0</v>
      </c>
      <c r="CO87" s="295">
        <v>0</v>
      </c>
      <c r="CP87" s="295">
        <v>0</v>
      </c>
      <c r="CQ87" s="295">
        <v>0</v>
      </c>
      <c r="CR87" s="295">
        <v>0</v>
      </c>
      <c r="CS87" s="295">
        <v>0</v>
      </c>
      <c r="CT87" s="295">
        <v>0</v>
      </c>
      <c r="CU87" s="295">
        <v>0</v>
      </c>
      <c r="CV87" s="295">
        <v>0</v>
      </c>
      <c r="CW87" s="295">
        <v>0</v>
      </c>
      <c r="CX87" s="295">
        <v>0</v>
      </c>
      <c r="CY87" s="295">
        <v>0</v>
      </c>
      <c r="CZ87" s="295">
        <v>0</v>
      </c>
      <c r="DA87" s="295">
        <v>0</v>
      </c>
      <c r="DB87" s="295">
        <v>0</v>
      </c>
      <c r="DC87" s="295">
        <v>0</v>
      </c>
      <c r="DD87" s="295">
        <v>0</v>
      </c>
      <c r="DE87" s="295">
        <v>0</v>
      </c>
      <c r="DF87" s="295">
        <v>0</v>
      </c>
      <c r="DG87" s="295">
        <v>0</v>
      </c>
      <c r="DH87" s="295">
        <v>0</v>
      </c>
      <c r="DI87" s="295">
        <v>0</v>
      </c>
      <c r="DJ87" s="295">
        <v>0</v>
      </c>
      <c r="DK87" s="295">
        <v>0</v>
      </c>
      <c r="DL87" s="295">
        <v>0</v>
      </c>
      <c r="DM87" s="295">
        <v>0</v>
      </c>
      <c r="DN87" s="295">
        <v>0</v>
      </c>
      <c r="DO87" s="295">
        <v>0</v>
      </c>
      <c r="DP87" s="295">
        <v>0</v>
      </c>
      <c r="DQ87" s="295">
        <v>0</v>
      </c>
      <c r="DR87" s="295">
        <v>0</v>
      </c>
      <c r="DS87" s="295">
        <v>0</v>
      </c>
      <c r="DT87" s="295">
        <v>0</v>
      </c>
      <c r="DU87" s="295">
        <v>0</v>
      </c>
      <c r="DV87" s="295">
        <v>0</v>
      </c>
      <c r="DW87" s="311">
        <f t="shared" si="92"/>
        <v>0</v>
      </c>
      <c r="DX87" s="296">
        <f t="shared" si="133"/>
        <v>0</v>
      </c>
      <c r="DY87" s="296">
        <f t="shared" si="133"/>
        <v>0</v>
      </c>
      <c r="DZ87" s="296">
        <f t="shared" si="133"/>
        <v>0</v>
      </c>
      <c r="EA87" s="287"/>
    </row>
    <row r="88" spans="1:132" ht="45.75" customHeight="1" x14ac:dyDescent="0.2">
      <c r="A88" s="297" t="s">
        <v>2065</v>
      </c>
      <c r="B88" s="298"/>
      <c r="C88" s="295">
        <f>3116000000/8</f>
        <v>389500000</v>
      </c>
      <c r="D88" s="295">
        <f>3094184930/8</f>
        <v>386773116.25</v>
      </c>
      <c r="E88" s="295">
        <f>313637950.16/8</f>
        <v>39204743.770000003</v>
      </c>
      <c r="F88" s="295">
        <f>306079097.93/8</f>
        <v>38259887.241250001</v>
      </c>
      <c r="G88" s="295">
        <f>82000000/8</f>
        <v>10250000</v>
      </c>
      <c r="H88" s="295">
        <f>53041998.97/8</f>
        <v>6630249.8712499999</v>
      </c>
      <c r="I88" s="295">
        <f>20355882.97/8</f>
        <v>2544485.3712499999</v>
      </c>
      <c r="J88" s="295">
        <f>14782002.97/8</f>
        <v>1847750.3712500001</v>
      </c>
      <c r="K88" s="295">
        <v>0</v>
      </c>
      <c r="L88" s="295">
        <v>0</v>
      </c>
      <c r="M88" s="295">
        <v>0</v>
      </c>
      <c r="N88" s="295">
        <v>0</v>
      </c>
      <c r="O88" s="295">
        <v>0</v>
      </c>
      <c r="P88" s="295">
        <v>0</v>
      </c>
      <c r="Q88" s="295">
        <v>0</v>
      </c>
      <c r="R88" s="295">
        <v>0</v>
      </c>
      <c r="S88" s="295">
        <v>0</v>
      </c>
      <c r="T88" s="295">
        <v>0</v>
      </c>
      <c r="U88" s="295">
        <v>0</v>
      </c>
      <c r="V88" s="295">
        <v>0</v>
      </c>
      <c r="W88" s="295">
        <v>0</v>
      </c>
      <c r="X88" s="295">
        <v>0</v>
      </c>
      <c r="Y88" s="295">
        <v>0</v>
      </c>
      <c r="Z88" s="295">
        <v>0</v>
      </c>
      <c r="AA88" s="295">
        <v>0</v>
      </c>
      <c r="AB88" s="295">
        <v>0</v>
      </c>
      <c r="AC88" s="295">
        <v>0</v>
      </c>
      <c r="AD88" s="295">
        <v>0</v>
      </c>
      <c r="AE88" s="295">
        <v>0</v>
      </c>
      <c r="AF88" s="295">
        <v>0</v>
      </c>
      <c r="AG88" s="295">
        <v>0</v>
      </c>
      <c r="AH88" s="295">
        <v>0</v>
      </c>
      <c r="AI88" s="295">
        <v>0</v>
      </c>
      <c r="AJ88" s="295">
        <v>0</v>
      </c>
      <c r="AK88" s="295">
        <v>0</v>
      </c>
      <c r="AL88" s="295">
        <v>0</v>
      </c>
      <c r="AM88" s="300">
        <v>0</v>
      </c>
      <c r="AN88" s="300">
        <v>0</v>
      </c>
      <c r="AO88" s="300">
        <v>0</v>
      </c>
      <c r="AP88" s="300">
        <v>0</v>
      </c>
      <c r="AQ88" s="300">
        <v>0</v>
      </c>
      <c r="AR88" s="300">
        <v>0</v>
      </c>
      <c r="AS88" s="300">
        <v>0</v>
      </c>
      <c r="AT88" s="300">
        <v>0</v>
      </c>
      <c r="AU88" s="295">
        <f t="shared" si="132"/>
        <v>70000000</v>
      </c>
      <c r="AV88" s="295">
        <f t="shared" si="132"/>
        <v>70000000</v>
      </c>
      <c r="AW88" s="299"/>
      <c r="AX88" s="299"/>
      <c r="AY88" s="300">
        <v>0</v>
      </c>
      <c r="AZ88" s="300">
        <v>0</v>
      </c>
      <c r="BA88" s="300">
        <v>0</v>
      </c>
      <c r="BB88" s="300">
        <v>0</v>
      </c>
      <c r="BC88" s="300">
        <v>0</v>
      </c>
      <c r="BD88" s="300">
        <v>0</v>
      </c>
      <c r="BE88" s="300">
        <v>0</v>
      </c>
      <c r="BF88" s="300">
        <v>0</v>
      </c>
      <c r="BG88" s="300">
        <v>0</v>
      </c>
      <c r="BH88" s="300">
        <v>0</v>
      </c>
      <c r="BI88" s="300">
        <v>0</v>
      </c>
      <c r="BJ88" s="300">
        <v>0</v>
      </c>
      <c r="BK88" s="300">
        <v>0</v>
      </c>
      <c r="BL88" s="300">
        <v>0</v>
      </c>
      <c r="BM88" s="300">
        <v>0</v>
      </c>
      <c r="BN88" s="300">
        <v>0</v>
      </c>
      <c r="BO88" s="300">
        <v>0</v>
      </c>
      <c r="BP88" s="300">
        <v>0</v>
      </c>
      <c r="BQ88" s="300">
        <v>0</v>
      </c>
      <c r="BR88" s="300">
        <v>0</v>
      </c>
      <c r="BS88" s="295">
        <v>0</v>
      </c>
      <c r="BT88" s="295">
        <v>0</v>
      </c>
      <c r="BU88" s="295">
        <v>0</v>
      </c>
      <c r="BV88" s="295">
        <v>0</v>
      </c>
      <c r="BW88" s="300">
        <v>0</v>
      </c>
      <c r="BX88" s="300">
        <v>0</v>
      </c>
      <c r="BY88" s="300">
        <v>0</v>
      </c>
      <c r="BZ88" s="300">
        <v>0</v>
      </c>
      <c r="CA88" s="300">
        <v>0</v>
      </c>
      <c r="CB88" s="300">
        <v>0</v>
      </c>
      <c r="CC88" s="300">
        <v>0</v>
      </c>
      <c r="CD88" s="300">
        <v>0</v>
      </c>
      <c r="CE88" s="300">
        <v>0</v>
      </c>
      <c r="CF88" s="300">
        <v>0</v>
      </c>
      <c r="CG88" s="300">
        <v>0</v>
      </c>
      <c r="CH88" s="300">
        <v>0</v>
      </c>
      <c r="CI88" s="295">
        <f t="shared" ref="CI88:CI93" si="134">300000000/8</f>
        <v>37500000</v>
      </c>
      <c r="CJ88" s="295">
        <v>32610580</v>
      </c>
      <c r="CK88" s="295">
        <f>38710656/8</f>
        <v>4838832</v>
      </c>
      <c r="CL88" s="295">
        <f>28403136/8</f>
        <v>3550392</v>
      </c>
      <c r="CM88" s="300">
        <v>0</v>
      </c>
      <c r="CN88" s="300">
        <v>0</v>
      </c>
      <c r="CO88" s="300">
        <v>0</v>
      </c>
      <c r="CP88" s="300">
        <v>0</v>
      </c>
      <c r="CQ88" s="300">
        <v>0</v>
      </c>
      <c r="CR88" s="300">
        <v>0</v>
      </c>
      <c r="CS88" s="300">
        <v>0</v>
      </c>
      <c r="CT88" s="300">
        <v>0</v>
      </c>
      <c r="CU88" s="300">
        <v>0</v>
      </c>
      <c r="CV88" s="300">
        <v>0</v>
      </c>
      <c r="CW88" s="300">
        <v>0</v>
      </c>
      <c r="CX88" s="300">
        <v>0</v>
      </c>
      <c r="CY88" s="300">
        <v>0</v>
      </c>
      <c r="CZ88" s="300">
        <v>0</v>
      </c>
      <c r="DA88" s="300">
        <v>0</v>
      </c>
      <c r="DB88" s="300">
        <v>0</v>
      </c>
      <c r="DC88" s="300">
        <v>0</v>
      </c>
      <c r="DD88" s="300">
        <v>0</v>
      </c>
      <c r="DE88" s="300">
        <v>0</v>
      </c>
      <c r="DF88" s="300">
        <v>0</v>
      </c>
      <c r="DG88" s="300">
        <v>0</v>
      </c>
      <c r="DH88" s="300">
        <v>0</v>
      </c>
      <c r="DI88" s="300">
        <v>0</v>
      </c>
      <c r="DJ88" s="300">
        <v>0</v>
      </c>
      <c r="DK88" s="300">
        <v>0</v>
      </c>
      <c r="DL88" s="300">
        <v>0</v>
      </c>
      <c r="DM88" s="300">
        <v>0</v>
      </c>
      <c r="DN88" s="300">
        <v>0</v>
      </c>
      <c r="DO88" s="300">
        <v>0</v>
      </c>
      <c r="DP88" s="300">
        <v>0</v>
      </c>
      <c r="DQ88" s="300">
        <v>0</v>
      </c>
      <c r="DR88" s="300">
        <v>0</v>
      </c>
      <c r="DS88" s="300">
        <v>0</v>
      </c>
      <c r="DT88" s="300">
        <v>0</v>
      </c>
      <c r="DU88" s="300">
        <v>0</v>
      </c>
      <c r="DV88" s="300">
        <v>0</v>
      </c>
      <c r="DW88" s="311">
        <f t="shared" si="92"/>
        <v>507250000</v>
      </c>
      <c r="DX88" s="311">
        <f t="shared" si="92"/>
        <v>496013946.12124997</v>
      </c>
      <c r="DY88" s="311">
        <f t="shared" si="92"/>
        <v>46588061.141249999</v>
      </c>
      <c r="DZ88" s="311">
        <f t="shared" si="92"/>
        <v>43658029.612500004</v>
      </c>
      <c r="EA88" s="287"/>
    </row>
    <row r="89" spans="1:132" ht="45.75" customHeight="1" x14ac:dyDescent="0.2">
      <c r="A89" s="293" t="s">
        <v>2066</v>
      </c>
      <c r="B89" s="298"/>
      <c r="C89" s="295">
        <f t="shared" ref="C89:C93" si="135">3116000000/8</f>
        <v>389500000</v>
      </c>
      <c r="D89" s="295">
        <f t="shared" ref="D89:D93" si="136">3094184930/8</f>
        <v>386773116.25</v>
      </c>
      <c r="E89" s="295">
        <f t="shared" ref="E89:E93" si="137">313637950.16/8</f>
        <v>39204743.770000003</v>
      </c>
      <c r="F89" s="295">
        <f t="shared" ref="F89:F93" si="138">306079097.93/8</f>
        <v>38259887.241250001</v>
      </c>
      <c r="G89" s="295">
        <f t="shared" ref="G89:G93" si="139">82000000/8</f>
        <v>10250000</v>
      </c>
      <c r="H89" s="295">
        <f t="shared" ref="H89:H92" si="140">53041998.97/8</f>
        <v>6630249.8712499999</v>
      </c>
      <c r="I89" s="295">
        <f t="shared" ref="I89:I93" si="141">20355882.97/8</f>
        <v>2544485.3712499999</v>
      </c>
      <c r="J89" s="295">
        <f t="shared" ref="J89:J93" si="142">14782002.97/8</f>
        <v>1847750.3712500001</v>
      </c>
      <c r="K89" s="295">
        <v>0</v>
      </c>
      <c r="L89" s="295">
        <v>0</v>
      </c>
      <c r="M89" s="295">
        <v>0</v>
      </c>
      <c r="N89" s="295">
        <v>0</v>
      </c>
      <c r="O89" s="295">
        <v>0</v>
      </c>
      <c r="P89" s="295">
        <v>0</v>
      </c>
      <c r="Q89" s="295">
        <v>0</v>
      </c>
      <c r="R89" s="295">
        <v>0</v>
      </c>
      <c r="S89" s="295">
        <v>0</v>
      </c>
      <c r="T89" s="295">
        <v>0</v>
      </c>
      <c r="U89" s="295">
        <v>0</v>
      </c>
      <c r="V89" s="295">
        <v>0</v>
      </c>
      <c r="W89" s="295">
        <v>0</v>
      </c>
      <c r="X89" s="295">
        <v>0</v>
      </c>
      <c r="Y89" s="295">
        <v>0</v>
      </c>
      <c r="Z89" s="295">
        <v>0</v>
      </c>
      <c r="AA89" s="295">
        <v>0</v>
      </c>
      <c r="AB89" s="295">
        <v>0</v>
      </c>
      <c r="AC89" s="295">
        <v>0</v>
      </c>
      <c r="AD89" s="295">
        <v>0</v>
      </c>
      <c r="AE89" s="295">
        <v>0</v>
      </c>
      <c r="AF89" s="295">
        <v>0</v>
      </c>
      <c r="AG89" s="295">
        <v>0</v>
      </c>
      <c r="AH89" s="295">
        <v>0</v>
      </c>
      <c r="AI89" s="295">
        <v>0</v>
      </c>
      <c r="AJ89" s="295">
        <v>0</v>
      </c>
      <c r="AK89" s="295">
        <v>0</v>
      </c>
      <c r="AL89" s="295">
        <v>0</v>
      </c>
      <c r="AM89" s="295">
        <v>0</v>
      </c>
      <c r="AN89" s="295">
        <v>0</v>
      </c>
      <c r="AO89" s="295">
        <v>0</v>
      </c>
      <c r="AP89" s="295">
        <v>0</v>
      </c>
      <c r="AQ89" s="295">
        <v>0</v>
      </c>
      <c r="AR89" s="295">
        <v>0</v>
      </c>
      <c r="AS89" s="295">
        <v>0</v>
      </c>
      <c r="AT89" s="295">
        <v>0</v>
      </c>
      <c r="AU89" s="295">
        <f t="shared" si="132"/>
        <v>70000000</v>
      </c>
      <c r="AV89" s="295">
        <f t="shared" si="132"/>
        <v>70000000</v>
      </c>
      <c r="AW89" s="295"/>
      <c r="AX89" s="295"/>
      <c r="AY89" s="295">
        <v>0</v>
      </c>
      <c r="AZ89" s="295">
        <v>0</v>
      </c>
      <c r="BA89" s="295">
        <v>0</v>
      </c>
      <c r="BB89" s="295">
        <v>0</v>
      </c>
      <c r="BC89" s="295">
        <v>0</v>
      </c>
      <c r="BD89" s="295">
        <v>0</v>
      </c>
      <c r="BE89" s="295">
        <v>0</v>
      </c>
      <c r="BF89" s="295">
        <v>0</v>
      </c>
      <c r="BG89" s="295">
        <v>0</v>
      </c>
      <c r="BH89" s="295">
        <v>0</v>
      </c>
      <c r="BI89" s="295">
        <v>0</v>
      </c>
      <c r="BJ89" s="295">
        <v>0</v>
      </c>
      <c r="BK89" s="295">
        <v>0</v>
      </c>
      <c r="BL89" s="295">
        <v>0</v>
      </c>
      <c r="BM89" s="295">
        <v>0</v>
      </c>
      <c r="BN89" s="295">
        <v>0</v>
      </c>
      <c r="BO89" s="295">
        <v>0</v>
      </c>
      <c r="BP89" s="295">
        <v>0</v>
      </c>
      <c r="BQ89" s="295">
        <v>0</v>
      </c>
      <c r="BR89" s="295">
        <v>0</v>
      </c>
      <c r="BS89" s="295">
        <v>0</v>
      </c>
      <c r="BT89" s="295">
        <v>0</v>
      </c>
      <c r="BU89" s="295">
        <v>0</v>
      </c>
      <c r="BV89" s="295">
        <v>0</v>
      </c>
      <c r="BW89" s="295">
        <v>0</v>
      </c>
      <c r="BX89" s="295">
        <v>0</v>
      </c>
      <c r="BY89" s="295">
        <v>0</v>
      </c>
      <c r="BZ89" s="295">
        <v>0</v>
      </c>
      <c r="CA89" s="295">
        <v>0</v>
      </c>
      <c r="CB89" s="295">
        <v>0</v>
      </c>
      <c r="CC89" s="295">
        <v>0</v>
      </c>
      <c r="CD89" s="295">
        <v>0</v>
      </c>
      <c r="CE89" s="295">
        <v>0</v>
      </c>
      <c r="CF89" s="295">
        <v>0</v>
      </c>
      <c r="CG89" s="295">
        <v>0</v>
      </c>
      <c r="CH89" s="295">
        <v>0</v>
      </c>
      <c r="CI89" s="295">
        <f t="shared" si="134"/>
        <v>37500000</v>
      </c>
      <c r="CJ89" s="295">
        <v>32610580</v>
      </c>
      <c r="CK89" s="295">
        <f t="shared" ref="CK89:CK93" si="143">38710656/8</f>
        <v>4838832</v>
      </c>
      <c r="CL89" s="295">
        <f t="shared" ref="CL89:CL93" si="144">28403136/8</f>
        <v>3550392</v>
      </c>
      <c r="CM89" s="295">
        <v>0</v>
      </c>
      <c r="CN89" s="295">
        <v>0</v>
      </c>
      <c r="CO89" s="295">
        <v>0</v>
      </c>
      <c r="CP89" s="295">
        <v>0</v>
      </c>
      <c r="CQ89" s="295">
        <v>0</v>
      </c>
      <c r="CR89" s="295">
        <v>0</v>
      </c>
      <c r="CS89" s="295">
        <v>0</v>
      </c>
      <c r="CT89" s="295">
        <v>0</v>
      </c>
      <c r="CU89" s="295">
        <v>0</v>
      </c>
      <c r="CV89" s="295">
        <v>0</v>
      </c>
      <c r="CW89" s="295">
        <v>0</v>
      </c>
      <c r="CX89" s="295">
        <v>0</v>
      </c>
      <c r="CY89" s="295">
        <v>0</v>
      </c>
      <c r="CZ89" s="295">
        <v>0</v>
      </c>
      <c r="DA89" s="295">
        <v>0</v>
      </c>
      <c r="DB89" s="295">
        <v>0</v>
      </c>
      <c r="DC89" s="295">
        <v>0</v>
      </c>
      <c r="DD89" s="295">
        <v>0</v>
      </c>
      <c r="DE89" s="295">
        <v>0</v>
      </c>
      <c r="DF89" s="295">
        <v>0</v>
      </c>
      <c r="DG89" s="295">
        <v>0</v>
      </c>
      <c r="DH89" s="295">
        <v>0</v>
      </c>
      <c r="DI89" s="295">
        <v>0</v>
      </c>
      <c r="DJ89" s="295">
        <v>0</v>
      </c>
      <c r="DK89" s="295">
        <v>0</v>
      </c>
      <c r="DL89" s="295">
        <v>0</v>
      </c>
      <c r="DM89" s="295">
        <v>0</v>
      </c>
      <c r="DN89" s="295">
        <v>0</v>
      </c>
      <c r="DO89" s="295">
        <v>0</v>
      </c>
      <c r="DP89" s="295">
        <v>0</v>
      </c>
      <c r="DQ89" s="295">
        <v>0</v>
      </c>
      <c r="DR89" s="295">
        <v>0</v>
      </c>
      <c r="DS89" s="295">
        <v>0</v>
      </c>
      <c r="DT89" s="295">
        <v>0</v>
      </c>
      <c r="DU89" s="295">
        <v>0</v>
      </c>
      <c r="DV89" s="295">
        <v>0</v>
      </c>
      <c r="DW89" s="311">
        <f t="shared" si="92"/>
        <v>507250000</v>
      </c>
      <c r="DX89" s="311">
        <f t="shared" si="92"/>
        <v>496013946.12124997</v>
      </c>
      <c r="DY89" s="311">
        <f t="shared" si="92"/>
        <v>46588061.141249999</v>
      </c>
      <c r="DZ89" s="311">
        <f t="shared" si="92"/>
        <v>43658029.612500004</v>
      </c>
      <c r="EA89" s="287"/>
    </row>
    <row r="90" spans="1:132" ht="45.75" customHeight="1" x14ac:dyDescent="0.2">
      <c r="A90" s="297" t="s">
        <v>2067</v>
      </c>
      <c r="B90" s="298"/>
      <c r="C90" s="295">
        <f t="shared" si="135"/>
        <v>389500000</v>
      </c>
      <c r="D90" s="295">
        <f t="shared" si="136"/>
        <v>386773116.25</v>
      </c>
      <c r="E90" s="295">
        <f t="shared" si="137"/>
        <v>39204743.770000003</v>
      </c>
      <c r="F90" s="295">
        <f t="shared" si="138"/>
        <v>38259887.241250001</v>
      </c>
      <c r="G90" s="295">
        <f t="shared" si="139"/>
        <v>10250000</v>
      </c>
      <c r="H90" s="295">
        <f t="shared" si="140"/>
        <v>6630249.8712499999</v>
      </c>
      <c r="I90" s="295">
        <f t="shared" si="141"/>
        <v>2544485.3712499999</v>
      </c>
      <c r="J90" s="295">
        <f t="shared" si="142"/>
        <v>1847750.3712500001</v>
      </c>
      <c r="K90" s="295">
        <v>0</v>
      </c>
      <c r="L90" s="295">
        <v>0</v>
      </c>
      <c r="M90" s="295">
        <v>0</v>
      </c>
      <c r="N90" s="295">
        <v>0</v>
      </c>
      <c r="O90" s="295">
        <v>0</v>
      </c>
      <c r="P90" s="295">
        <v>0</v>
      </c>
      <c r="Q90" s="295">
        <v>0</v>
      </c>
      <c r="R90" s="295">
        <v>0</v>
      </c>
      <c r="S90" s="295">
        <v>0</v>
      </c>
      <c r="T90" s="295">
        <v>0</v>
      </c>
      <c r="U90" s="295">
        <v>0</v>
      </c>
      <c r="V90" s="295">
        <v>0</v>
      </c>
      <c r="W90" s="295">
        <v>0</v>
      </c>
      <c r="X90" s="295">
        <v>0</v>
      </c>
      <c r="Y90" s="295">
        <v>0</v>
      </c>
      <c r="Z90" s="295">
        <v>0</v>
      </c>
      <c r="AA90" s="295">
        <v>0</v>
      </c>
      <c r="AB90" s="295">
        <v>0</v>
      </c>
      <c r="AC90" s="295">
        <v>0</v>
      </c>
      <c r="AD90" s="295">
        <v>0</v>
      </c>
      <c r="AE90" s="295">
        <v>0</v>
      </c>
      <c r="AF90" s="295">
        <v>0</v>
      </c>
      <c r="AG90" s="295">
        <v>0</v>
      </c>
      <c r="AH90" s="295">
        <v>0</v>
      </c>
      <c r="AI90" s="295">
        <v>0</v>
      </c>
      <c r="AJ90" s="295">
        <v>0</v>
      </c>
      <c r="AK90" s="295">
        <v>0</v>
      </c>
      <c r="AL90" s="295">
        <v>0</v>
      </c>
      <c r="AM90" s="300">
        <v>0</v>
      </c>
      <c r="AN90" s="300">
        <v>0</v>
      </c>
      <c r="AO90" s="300">
        <v>0</v>
      </c>
      <c r="AP90" s="300">
        <v>0</v>
      </c>
      <c r="AQ90" s="300">
        <v>0</v>
      </c>
      <c r="AR90" s="300">
        <v>0</v>
      </c>
      <c r="AS90" s="300">
        <v>0</v>
      </c>
      <c r="AT90" s="300">
        <v>0</v>
      </c>
      <c r="AU90" s="295">
        <f t="shared" si="132"/>
        <v>70000000</v>
      </c>
      <c r="AV90" s="295">
        <f t="shared" si="132"/>
        <v>70000000</v>
      </c>
      <c r="AW90" s="299"/>
      <c r="AX90" s="299"/>
      <c r="AY90" s="300">
        <v>0</v>
      </c>
      <c r="AZ90" s="300">
        <v>0</v>
      </c>
      <c r="BA90" s="300">
        <v>0</v>
      </c>
      <c r="BB90" s="300">
        <v>0</v>
      </c>
      <c r="BC90" s="300">
        <v>0</v>
      </c>
      <c r="BD90" s="300">
        <v>0</v>
      </c>
      <c r="BE90" s="300">
        <v>0</v>
      </c>
      <c r="BF90" s="300">
        <v>0</v>
      </c>
      <c r="BG90" s="300">
        <v>0</v>
      </c>
      <c r="BH90" s="300">
        <v>0</v>
      </c>
      <c r="BI90" s="300">
        <v>0</v>
      </c>
      <c r="BJ90" s="300">
        <v>0</v>
      </c>
      <c r="BK90" s="300">
        <v>0</v>
      </c>
      <c r="BL90" s="300">
        <v>0</v>
      </c>
      <c r="BM90" s="300">
        <v>0</v>
      </c>
      <c r="BN90" s="300">
        <v>0</v>
      </c>
      <c r="BO90" s="300">
        <v>0</v>
      </c>
      <c r="BP90" s="300">
        <v>0</v>
      </c>
      <c r="BQ90" s="300">
        <v>0</v>
      </c>
      <c r="BR90" s="300">
        <v>0</v>
      </c>
      <c r="BS90" s="295">
        <v>0</v>
      </c>
      <c r="BT90" s="295">
        <v>0</v>
      </c>
      <c r="BU90" s="295">
        <v>0</v>
      </c>
      <c r="BV90" s="295">
        <v>0</v>
      </c>
      <c r="BW90" s="300">
        <v>0</v>
      </c>
      <c r="BX90" s="300">
        <v>0</v>
      </c>
      <c r="BY90" s="300">
        <v>0</v>
      </c>
      <c r="BZ90" s="300">
        <v>0</v>
      </c>
      <c r="CA90" s="300">
        <v>0</v>
      </c>
      <c r="CB90" s="300">
        <v>0</v>
      </c>
      <c r="CC90" s="300">
        <v>0</v>
      </c>
      <c r="CD90" s="300">
        <v>0</v>
      </c>
      <c r="CE90" s="300">
        <v>0</v>
      </c>
      <c r="CF90" s="300">
        <v>0</v>
      </c>
      <c r="CG90" s="300">
        <v>0</v>
      </c>
      <c r="CH90" s="300">
        <v>0</v>
      </c>
      <c r="CI90" s="295">
        <f t="shared" si="134"/>
        <v>37500000</v>
      </c>
      <c r="CJ90" s="295">
        <v>32610580</v>
      </c>
      <c r="CK90" s="295">
        <f t="shared" si="143"/>
        <v>4838832</v>
      </c>
      <c r="CL90" s="295">
        <f t="shared" si="144"/>
        <v>3550392</v>
      </c>
      <c r="CM90" s="295">
        <v>0</v>
      </c>
      <c r="CN90" s="295">
        <v>0</v>
      </c>
      <c r="CO90" s="295">
        <v>0</v>
      </c>
      <c r="CP90" s="295">
        <v>0</v>
      </c>
      <c r="CQ90" s="295">
        <v>0</v>
      </c>
      <c r="CR90" s="295">
        <v>0</v>
      </c>
      <c r="CS90" s="295">
        <v>0</v>
      </c>
      <c r="CT90" s="295">
        <v>0</v>
      </c>
      <c r="CU90" s="295">
        <v>0</v>
      </c>
      <c r="CV90" s="295">
        <v>0</v>
      </c>
      <c r="CW90" s="295">
        <v>0</v>
      </c>
      <c r="CX90" s="295">
        <v>0</v>
      </c>
      <c r="CY90" s="295">
        <v>0</v>
      </c>
      <c r="CZ90" s="295">
        <v>0</v>
      </c>
      <c r="DA90" s="295">
        <v>0</v>
      </c>
      <c r="DB90" s="295">
        <v>0</v>
      </c>
      <c r="DC90" s="295">
        <v>0</v>
      </c>
      <c r="DD90" s="295">
        <v>0</v>
      </c>
      <c r="DE90" s="295">
        <v>0</v>
      </c>
      <c r="DF90" s="295">
        <v>0</v>
      </c>
      <c r="DG90" s="295">
        <v>0</v>
      </c>
      <c r="DH90" s="295">
        <v>0</v>
      </c>
      <c r="DI90" s="295">
        <v>0</v>
      </c>
      <c r="DJ90" s="295">
        <v>0</v>
      </c>
      <c r="DK90" s="295">
        <v>0</v>
      </c>
      <c r="DL90" s="295">
        <v>0</v>
      </c>
      <c r="DM90" s="295">
        <v>0</v>
      </c>
      <c r="DN90" s="295">
        <v>0</v>
      </c>
      <c r="DO90" s="295">
        <v>0</v>
      </c>
      <c r="DP90" s="295">
        <v>0</v>
      </c>
      <c r="DQ90" s="295">
        <v>0</v>
      </c>
      <c r="DR90" s="295">
        <v>0</v>
      </c>
      <c r="DS90" s="300">
        <v>0</v>
      </c>
      <c r="DT90" s="300">
        <v>0</v>
      </c>
      <c r="DU90" s="300">
        <v>0</v>
      </c>
      <c r="DV90" s="300">
        <v>0</v>
      </c>
      <c r="DW90" s="311">
        <f t="shared" si="92"/>
        <v>507250000</v>
      </c>
      <c r="DX90" s="311">
        <f t="shared" si="92"/>
        <v>496013946.12124997</v>
      </c>
      <c r="DY90" s="311">
        <f t="shared" si="92"/>
        <v>46588061.141249999</v>
      </c>
      <c r="DZ90" s="311">
        <f t="shared" si="92"/>
        <v>43658029.612500004</v>
      </c>
      <c r="EA90" s="287"/>
    </row>
    <row r="91" spans="1:132" ht="45.75" customHeight="1" x14ac:dyDescent="0.2">
      <c r="A91" s="297" t="s">
        <v>2068</v>
      </c>
      <c r="B91" s="298"/>
      <c r="C91" s="295">
        <f t="shared" si="135"/>
        <v>389500000</v>
      </c>
      <c r="D91" s="295">
        <f t="shared" si="136"/>
        <v>386773116.25</v>
      </c>
      <c r="E91" s="295">
        <f t="shared" si="137"/>
        <v>39204743.770000003</v>
      </c>
      <c r="F91" s="295">
        <f t="shared" si="138"/>
        <v>38259887.241250001</v>
      </c>
      <c r="G91" s="295">
        <f t="shared" si="139"/>
        <v>10250000</v>
      </c>
      <c r="H91" s="295">
        <f t="shared" si="140"/>
        <v>6630249.8712499999</v>
      </c>
      <c r="I91" s="295">
        <f t="shared" si="141"/>
        <v>2544485.3712499999</v>
      </c>
      <c r="J91" s="295">
        <f t="shared" si="142"/>
        <v>1847750.3712500001</v>
      </c>
      <c r="K91" s="295">
        <v>0</v>
      </c>
      <c r="L91" s="295">
        <v>0</v>
      </c>
      <c r="M91" s="295">
        <v>0</v>
      </c>
      <c r="N91" s="295">
        <v>0</v>
      </c>
      <c r="O91" s="295">
        <v>0</v>
      </c>
      <c r="P91" s="295">
        <v>0</v>
      </c>
      <c r="Q91" s="295">
        <v>0</v>
      </c>
      <c r="R91" s="295">
        <v>0</v>
      </c>
      <c r="S91" s="295">
        <v>0</v>
      </c>
      <c r="T91" s="295">
        <v>0</v>
      </c>
      <c r="U91" s="295">
        <v>0</v>
      </c>
      <c r="V91" s="295">
        <v>0</v>
      </c>
      <c r="W91" s="295">
        <v>0</v>
      </c>
      <c r="X91" s="295">
        <v>0</v>
      </c>
      <c r="Y91" s="295">
        <v>0</v>
      </c>
      <c r="Z91" s="295">
        <v>0</v>
      </c>
      <c r="AA91" s="295">
        <v>0</v>
      </c>
      <c r="AB91" s="295">
        <v>0</v>
      </c>
      <c r="AC91" s="295">
        <v>0</v>
      </c>
      <c r="AD91" s="295">
        <v>0</v>
      </c>
      <c r="AE91" s="295">
        <v>0</v>
      </c>
      <c r="AF91" s="295">
        <v>0</v>
      </c>
      <c r="AG91" s="295">
        <v>0</v>
      </c>
      <c r="AH91" s="295">
        <v>0</v>
      </c>
      <c r="AI91" s="295">
        <v>0</v>
      </c>
      <c r="AJ91" s="295">
        <v>0</v>
      </c>
      <c r="AK91" s="295">
        <v>0</v>
      </c>
      <c r="AL91" s="295">
        <v>0</v>
      </c>
      <c r="AM91" s="300">
        <v>0</v>
      </c>
      <c r="AN91" s="300">
        <v>0</v>
      </c>
      <c r="AO91" s="300">
        <v>0</v>
      </c>
      <c r="AP91" s="300">
        <v>0</v>
      </c>
      <c r="AQ91" s="300">
        <v>0</v>
      </c>
      <c r="AR91" s="300">
        <v>0</v>
      </c>
      <c r="AS91" s="300">
        <v>0</v>
      </c>
      <c r="AT91" s="300">
        <v>0</v>
      </c>
      <c r="AU91" s="295">
        <f t="shared" si="132"/>
        <v>70000000</v>
      </c>
      <c r="AV91" s="295">
        <f t="shared" si="132"/>
        <v>70000000</v>
      </c>
      <c r="AW91" s="299"/>
      <c r="AX91" s="299"/>
      <c r="AY91" s="300">
        <v>0</v>
      </c>
      <c r="AZ91" s="300">
        <v>0</v>
      </c>
      <c r="BA91" s="300">
        <v>0</v>
      </c>
      <c r="BB91" s="300">
        <v>0</v>
      </c>
      <c r="BC91" s="300">
        <v>0</v>
      </c>
      <c r="BD91" s="300">
        <v>0</v>
      </c>
      <c r="BE91" s="300">
        <v>0</v>
      </c>
      <c r="BF91" s="300">
        <v>0</v>
      </c>
      <c r="BG91" s="300">
        <v>0</v>
      </c>
      <c r="BH91" s="300">
        <v>0</v>
      </c>
      <c r="BI91" s="300">
        <v>0</v>
      </c>
      <c r="BJ91" s="300">
        <v>0</v>
      </c>
      <c r="BK91" s="300">
        <v>0</v>
      </c>
      <c r="BL91" s="300">
        <v>0</v>
      </c>
      <c r="BM91" s="300">
        <v>0</v>
      </c>
      <c r="BN91" s="300">
        <v>0</v>
      </c>
      <c r="BO91" s="300">
        <v>0</v>
      </c>
      <c r="BP91" s="300">
        <v>0</v>
      </c>
      <c r="BQ91" s="300">
        <v>0</v>
      </c>
      <c r="BR91" s="300">
        <v>0</v>
      </c>
      <c r="BS91" s="295">
        <v>0</v>
      </c>
      <c r="BT91" s="295">
        <v>0</v>
      </c>
      <c r="BU91" s="295">
        <v>0</v>
      </c>
      <c r="BV91" s="295">
        <v>0</v>
      </c>
      <c r="BW91" s="300">
        <v>0</v>
      </c>
      <c r="BX91" s="300">
        <v>0</v>
      </c>
      <c r="BY91" s="300">
        <v>0</v>
      </c>
      <c r="BZ91" s="300">
        <v>0</v>
      </c>
      <c r="CA91" s="300">
        <v>0</v>
      </c>
      <c r="CB91" s="300">
        <v>0</v>
      </c>
      <c r="CC91" s="300">
        <v>0</v>
      </c>
      <c r="CD91" s="300">
        <v>0</v>
      </c>
      <c r="CE91" s="300">
        <v>0</v>
      </c>
      <c r="CF91" s="300">
        <v>0</v>
      </c>
      <c r="CG91" s="300">
        <v>0</v>
      </c>
      <c r="CH91" s="300">
        <v>0</v>
      </c>
      <c r="CI91" s="295">
        <f t="shared" si="134"/>
        <v>37500000</v>
      </c>
      <c r="CJ91" s="295">
        <v>32610580</v>
      </c>
      <c r="CK91" s="295">
        <f t="shared" si="143"/>
        <v>4838832</v>
      </c>
      <c r="CL91" s="295">
        <f t="shared" si="144"/>
        <v>3550392</v>
      </c>
      <c r="CM91" s="300">
        <v>0</v>
      </c>
      <c r="CN91" s="300">
        <v>0</v>
      </c>
      <c r="CO91" s="300">
        <v>0</v>
      </c>
      <c r="CP91" s="300">
        <v>0</v>
      </c>
      <c r="CQ91" s="300">
        <v>0</v>
      </c>
      <c r="CR91" s="300">
        <v>0</v>
      </c>
      <c r="CS91" s="300">
        <v>0</v>
      </c>
      <c r="CT91" s="300">
        <v>0</v>
      </c>
      <c r="CU91" s="300">
        <v>0</v>
      </c>
      <c r="CV91" s="300">
        <v>0</v>
      </c>
      <c r="CW91" s="300">
        <v>0</v>
      </c>
      <c r="CX91" s="300">
        <v>0</v>
      </c>
      <c r="CY91" s="300">
        <v>0</v>
      </c>
      <c r="CZ91" s="300">
        <v>0</v>
      </c>
      <c r="DA91" s="300">
        <v>0</v>
      </c>
      <c r="DB91" s="300">
        <v>0</v>
      </c>
      <c r="DC91" s="300">
        <v>0</v>
      </c>
      <c r="DD91" s="300">
        <v>0</v>
      </c>
      <c r="DE91" s="300">
        <v>0</v>
      </c>
      <c r="DF91" s="300">
        <v>0</v>
      </c>
      <c r="DG91" s="300">
        <v>0</v>
      </c>
      <c r="DH91" s="300">
        <v>0</v>
      </c>
      <c r="DI91" s="300">
        <v>0</v>
      </c>
      <c r="DJ91" s="300">
        <v>0</v>
      </c>
      <c r="DK91" s="300">
        <v>0</v>
      </c>
      <c r="DL91" s="300">
        <v>0</v>
      </c>
      <c r="DM91" s="300">
        <v>0</v>
      </c>
      <c r="DN91" s="300">
        <v>0</v>
      </c>
      <c r="DO91" s="300">
        <v>0</v>
      </c>
      <c r="DP91" s="300">
        <v>0</v>
      </c>
      <c r="DQ91" s="300">
        <v>0</v>
      </c>
      <c r="DR91" s="300">
        <v>0</v>
      </c>
      <c r="DS91" s="300">
        <v>0</v>
      </c>
      <c r="DT91" s="300">
        <v>0</v>
      </c>
      <c r="DU91" s="300">
        <v>0</v>
      </c>
      <c r="DV91" s="300">
        <v>0</v>
      </c>
      <c r="DW91" s="311">
        <f t="shared" si="92"/>
        <v>507250000</v>
      </c>
      <c r="DX91" s="311">
        <f t="shared" si="92"/>
        <v>496013946.12124997</v>
      </c>
      <c r="DY91" s="311">
        <f t="shared" si="92"/>
        <v>46588061.141249999</v>
      </c>
      <c r="DZ91" s="311">
        <f t="shared" si="92"/>
        <v>43658029.612500004</v>
      </c>
      <c r="EA91" s="287"/>
    </row>
    <row r="92" spans="1:132" ht="45.75" customHeight="1" x14ac:dyDescent="0.2">
      <c r="A92" s="297" t="s">
        <v>2069</v>
      </c>
      <c r="B92" s="298"/>
      <c r="C92" s="295">
        <f t="shared" si="135"/>
        <v>389500000</v>
      </c>
      <c r="D92" s="295">
        <f t="shared" si="136"/>
        <v>386773116.25</v>
      </c>
      <c r="E92" s="295">
        <f t="shared" si="137"/>
        <v>39204743.770000003</v>
      </c>
      <c r="F92" s="295">
        <f t="shared" si="138"/>
        <v>38259887.241250001</v>
      </c>
      <c r="G92" s="295">
        <f t="shared" si="139"/>
        <v>10250000</v>
      </c>
      <c r="H92" s="295">
        <f t="shared" si="140"/>
        <v>6630249.8712499999</v>
      </c>
      <c r="I92" s="295">
        <f t="shared" si="141"/>
        <v>2544485.3712499999</v>
      </c>
      <c r="J92" s="295">
        <f t="shared" si="142"/>
        <v>1847750.3712500001</v>
      </c>
      <c r="K92" s="295">
        <v>0</v>
      </c>
      <c r="L92" s="295">
        <v>0</v>
      </c>
      <c r="M92" s="295">
        <v>0</v>
      </c>
      <c r="N92" s="295">
        <v>0</v>
      </c>
      <c r="O92" s="295">
        <v>0</v>
      </c>
      <c r="P92" s="295">
        <v>0</v>
      </c>
      <c r="Q92" s="295">
        <v>0</v>
      </c>
      <c r="R92" s="295">
        <v>0</v>
      </c>
      <c r="S92" s="295">
        <v>0</v>
      </c>
      <c r="T92" s="295">
        <v>0</v>
      </c>
      <c r="U92" s="295">
        <v>0</v>
      </c>
      <c r="V92" s="295">
        <v>0</v>
      </c>
      <c r="W92" s="295">
        <v>0</v>
      </c>
      <c r="X92" s="295">
        <v>0</v>
      </c>
      <c r="Y92" s="295">
        <v>0</v>
      </c>
      <c r="Z92" s="295">
        <v>0</v>
      </c>
      <c r="AA92" s="295">
        <v>0</v>
      </c>
      <c r="AB92" s="295">
        <v>0</v>
      </c>
      <c r="AC92" s="295">
        <v>0</v>
      </c>
      <c r="AD92" s="295">
        <v>0</v>
      </c>
      <c r="AE92" s="295">
        <v>0</v>
      </c>
      <c r="AF92" s="295">
        <v>0</v>
      </c>
      <c r="AG92" s="295">
        <v>0</v>
      </c>
      <c r="AH92" s="295">
        <v>0</v>
      </c>
      <c r="AI92" s="295">
        <v>0</v>
      </c>
      <c r="AJ92" s="295">
        <v>0</v>
      </c>
      <c r="AK92" s="295">
        <v>0</v>
      </c>
      <c r="AL92" s="295">
        <v>0</v>
      </c>
      <c r="AM92" s="300">
        <v>0</v>
      </c>
      <c r="AN92" s="300">
        <v>0</v>
      </c>
      <c r="AO92" s="300">
        <v>0</v>
      </c>
      <c r="AP92" s="300">
        <v>0</v>
      </c>
      <c r="AQ92" s="300">
        <v>0</v>
      </c>
      <c r="AR92" s="300">
        <v>0</v>
      </c>
      <c r="AS92" s="300">
        <v>0</v>
      </c>
      <c r="AT92" s="300">
        <v>0</v>
      </c>
      <c r="AU92" s="295">
        <f t="shared" si="132"/>
        <v>70000000</v>
      </c>
      <c r="AV92" s="295">
        <f t="shared" si="132"/>
        <v>70000000</v>
      </c>
      <c r="AW92" s="299"/>
      <c r="AX92" s="299"/>
      <c r="AY92" s="300">
        <v>0</v>
      </c>
      <c r="AZ92" s="300">
        <v>0</v>
      </c>
      <c r="BA92" s="300">
        <v>0</v>
      </c>
      <c r="BB92" s="300">
        <v>0</v>
      </c>
      <c r="BC92" s="300">
        <v>0</v>
      </c>
      <c r="BD92" s="300">
        <v>0</v>
      </c>
      <c r="BE92" s="300">
        <v>0</v>
      </c>
      <c r="BF92" s="300">
        <v>0</v>
      </c>
      <c r="BG92" s="300">
        <v>0</v>
      </c>
      <c r="BH92" s="300">
        <v>0</v>
      </c>
      <c r="BI92" s="300">
        <v>0</v>
      </c>
      <c r="BJ92" s="300">
        <v>0</v>
      </c>
      <c r="BK92" s="300">
        <v>0</v>
      </c>
      <c r="BL92" s="300">
        <v>0</v>
      </c>
      <c r="BM92" s="300">
        <v>0</v>
      </c>
      <c r="BN92" s="300">
        <v>0</v>
      </c>
      <c r="BO92" s="300">
        <v>0</v>
      </c>
      <c r="BP92" s="300">
        <v>0</v>
      </c>
      <c r="BQ92" s="300">
        <v>0</v>
      </c>
      <c r="BR92" s="300">
        <v>0</v>
      </c>
      <c r="BS92" s="295">
        <v>0</v>
      </c>
      <c r="BT92" s="295">
        <v>0</v>
      </c>
      <c r="BU92" s="295">
        <v>0</v>
      </c>
      <c r="BV92" s="295">
        <v>0</v>
      </c>
      <c r="BW92" s="300">
        <v>0</v>
      </c>
      <c r="BX92" s="300">
        <v>0</v>
      </c>
      <c r="BY92" s="300">
        <v>0</v>
      </c>
      <c r="BZ92" s="300">
        <v>0</v>
      </c>
      <c r="CA92" s="300">
        <v>0</v>
      </c>
      <c r="CB92" s="300">
        <v>0</v>
      </c>
      <c r="CC92" s="300">
        <v>0</v>
      </c>
      <c r="CD92" s="300">
        <v>0</v>
      </c>
      <c r="CE92" s="300">
        <v>0</v>
      </c>
      <c r="CF92" s="300">
        <v>0</v>
      </c>
      <c r="CG92" s="300">
        <v>0</v>
      </c>
      <c r="CH92" s="300">
        <v>0</v>
      </c>
      <c r="CI92" s="295">
        <f t="shared" si="134"/>
        <v>37500000</v>
      </c>
      <c r="CJ92" s="295">
        <v>32610580</v>
      </c>
      <c r="CK92" s="295">
        <f>38710656/8</f>
        <v>4838832</v>
      </c>
      <c r="CL92" s="295">
        <f t="shared" si="144"/>
        <v>3550392</v>
      </c>
      <c r="CM92" s="300">
        <v>0</v>
      </c>
      <c r="CN92" s="300">
        <v>0</v>
      </c>
      <c r="CO92" s="300">
        <v>0</v>
      </c>
      <c r="CP92" s="300">
        <v>0</v>
      </c>
      <c r="CQ92" s="300">
        <v>0</v>
      </c>
      <c r="CR92" s="300">
        <v>0</v>
      </c>
      <c r="CS92" s="300">
        <v>0</v>
      </c>
      <c r="CT92" s="300">
        <v>0</v>
      </c>
      <c r="CU92" s="300">
        <v>0</v>
      </c>
      <c r="CV92" s="300">
        <v>0</v>
      </c>
      <c r="CW92" s="300">
        <v>0</v>
      </c>
      <c r="CX92" s="300">
        <v>0</v>
      </c>
      <c r="CY92" s="300">
        <v>0</v>
      </c>
      <c r="CZ92" s="300">
        <v>0</v>
      </c>
      <c r="DA92" s="300">
        <v>0</v>
      </c>
      <c r="DB92" s="300">
        <v>0</v>
      </c>
      <c r="DC92" s="300">
        <v>0</v>
      </c>
      <c r="DD92" s="300">
        <v>0</v>
      </c>
      <c r="DE92" s="300">
        <v>0</v>
      </c>
      <c r="DF92" s="300">
        <v>0</v>
      </c>
      <c r="DG92" s="300">
        <v>0</v>
      </c>
      <c r="DH92" s="300">
        <v>0</v>
      </c>
      <c r="DI92" s="300">
        <v>0</v>
      </c>
      <c r="DJ92" s="300">
        <v>0</v>
      </c>
      <c r="DK92" s="300">
        <v>0</v>
      </c>
      <c r="DL92" s="300">
        <v>0</v>
      </c>
      <c r="DM92" s="300">
        <v>0</v>
      </c>
      <c r="DN92" s="300">
        <v>0</v>
      </c>
      <c r="DO92" s="300">
        <v>0</v>
      </c>
      <c r="DP92" s="300">
        <v>0</v>
      </c>
      <c r="DQ92" s="300">
        <v>0</v>
      </c>
      <c r="DR92" s="300">
        <v>0</v>
      </c>
      <c r="DS92" s="300">
        <v>0</v>
      </c>
      <c r="DT92" s="300">
        <v>0</v>
      </c>
      <c r="DU92" s="300">
        <v>0</v>
      </c>
      <c r="DV92" s="300">
        <v>0</v>
      </c>
      <c r="DW92" s="311">
        <f t="shared" si="92"/>
        <v>507250000</v>
      </c>
      <c r="DX92" s="311">
        <f t="shared" si="92"/>
        <v>496013946.12124997</v>
      </c>
      <c r="DY92" s="311">
        <f t="shared" si="92"/>
        <v>46588061.141249999</v>
      </c>
      <c r="DZ92" s="311">
        <f t="shared" si="92"/>
        <v>43658029.612500004</v>
      </c>
      <c r="EA92" s="287"/>
    </row>
    <row r="93" spans="1:132" ht="45.75" customHeight="1" x14ac:dyDescent="0.2">
      <c r="A93" s="297" t="s">
        <v>2070</v>
      </c>
      <c r="B93" s="301"/>
      <c r="C93" s="295">
        <f t="shared" si="135"/>
        <v>389500000</v>
      </c>
      <c r="D93" s="295">
        <f t="shared" si="136"/>
        <v>386773116.25</v>
      </c>
      <c r="E93" s="295">
        <f t="shared" si="137"/>
        <v>39204743.770000003</v>
      </c>
      <c r="F93" s="295">
        <f t="shared" si="138"/>
        <v>38259887.241250001</v>
      </c>
      <c r="G93" s="295">
        <f t="shared" si="139"/>
        <v>10250000</v>
      </c>
      <c r="H93" s="295">
        <f>53041998.97/8</f>
        <v>6630249.8712499999</v>
      </c>
      <c r="I93" s="295">
        <f t="shared" si="141"/>
        <v>2544485.3712499999</v>
      </c>
      <c r="J93" s="295">
        <f t="shared" si="142"/>
        <v>1847750.3712500001</v>
      </c>
      <c r="K93" s="295">
        <v>0</v>
      </c>
      <c r="L93" s="295">
        <v>0</v>
      </c>
      <c r="M93" s="295">
        <v>0</v>
      </c>
      <c r="N93" s="295">
        <v>0</v>
      </c>
      <c r="O93" s="295">
        <v>0</v>
      </c>
      <c r="P93" s="295">
        <v>0</v>
      </c>
      <c r="Q93" s="295">
        <v>0</v>
      </c>
      <c r="R93" s="295">
        <v>0</v>
      </c>
      <c r="S93" s="295">
        <v>0</v>
      </c>
      <c r="T93" s="295">
        <v>0</v>
      </c>
      <c r="U93" s="295">
        <v>0</v>
      </c>
      <c r="V93" s="295">
        <v>0</v>
      </c>
      <c r="W93" s="295">
        <v>0</v>
      </c>
      <c r="X93" s="295">
        <v>0</v>
      </c>
      <c r="Y93" s="295">
        <v>0</v>
      </c>
      <c r="Z93" s="295">
        <v>0</v>
      </c>
      <c r="AA93" s="295">
        <v>0</v>
      </c>
      <c r="AB93" s="295">
        <v>0</v>
      </c>
      <c r="AC93" s="295">
        <v>0</v>
      </c>
      <c r="AD93" s="295">
        <v>0</v>
      </c>
      <c r="AE93" s="295">
        <v>0</v>
      </c>
      <c r="AF93" s="295">
        <v>0</v>
      </c>
      <c r="AG93" s="295">
        <v>0</v>
      </c>
      <c r="AH93" s="295">
        <v>0</v>
      </c>
      <c r="AI93" s="295">
        <v>0</v>
      </c>
      <c r="AJ93" s="295">
        <v>0</v>
      </c>
      <c r="AK93" s="295">
        <v>0</v>
      </c>
      <c r="AL93" s="295">
        <v>0</v>
      </c>
      <c r="AM93" s="300">
        <v>0</v>
      </c>
      <c r="AN93" s="300">
        <v>0</v>
      </c>
      <c r="AO93" s="300">
        <v>0</v>
      </c>
      <c r="AP93" s="300">
        <v>0</v>
      </c>
      <c r="AQ93" s="300">
        <v>0</v>
      </c>
      <c r="AR93" s="300">
        <v>0</v>
      </c>
      <c r="AS93" s="300">
        <v>0</v>
      </c>
      <c r="AT93" s="300">
        <v>0</v>
      </c>
      <c r="AU93" s="295">
        <f t="shared" si="132"/>
        <v>70000000</v>
      </c>
      <c r="AV93" s="295">
        <f t="shared" si="132"/>
        <v>70000000</v>
      </c>
      <c r="AW93" s="299"/>
      <c r="AX93" s="299"/>
      <c r="AY93" s="300">
        <v>0</v>
      </c>
      <c r="AZ93" s="300">
        <v>0</v>
      </c>
      <c r="BA93" s="300">
        <v>0</v>
      </c>
      <c r="BB93" s="300">
        <v>0</v>
      </c>
      <c r="BC93" s="300">
        <v>0</v>
      </c>
      <c r="BD93" s="300">
        <v>0</v>
      </c>
      <c r="BE93" s="300">
        <v>0</v>
      </c>
      <c r="BF93" s="300">
        <v>0</v>
      </c>
      <c r="BG93" s="300">
        <v>0</v>
      </c>
      <c r="BH93" s="300">
        <v>0</v>
      </c>
      <c r="BI93" s="300">
        <v>0</v>
      </c>
      <c r="BJ93" s="300">
        <v>0</v>
      </c>
      <c r="BK93" s="300">
        <v>0</v>
      </c>
      <c r="BL93" s="300">
        <v>0</v>
      </c>
      <c r="BM93" s="300">
        <v>0</v>
      </c>
      <c r="BN93" s="300">
        <v>0</v>
      </c>
      <c r="BO93" s="300">
        <v>0</v>
      </c>
      <c r="BP93" s="300">
        <v>0</v>
      </c>
      <c r="BQ93" s="300">
        <v>0</v>
      </c>
      <c r="BR93" s="300">
        <v>0</v>
      </c>
      <c r="BS93" s="295">
        <v>0</v>
      </c>
      <c r="BT93" s="295">
        <v>0</v>
      </c>
      <c r="BU93" s="295">
        <v>0</v>
      </c>
      <c r="BV93" s="295">
        <v>0</v>
      </c>
      <c r="BW93" s="300">
        <v>0</v>
      </c>
      <c r="BX93" s="300">
        <v>0</v>
      </c>
      <c r="BY93" s="300">
        <v>0</v>
      </c>
      <c r="BZ93" s="300">
        <v>0</v>
      </c>
      <c r="CA93" s="300">
        <v>0</v>
      </c>
      <c r="CB93" s="300">
        <v>0</v>
      </c>
      <c r="CC93" s="300">
        <v>0</v>
      </c>
      <c r="CD93" s="300">
        <v>0</v>
      </c>
      <c r="CE93" s="300">
        <v>0</v>
      </c>
      <c r="CF93" s="300">
        <v>0</v>
      </c>
      <c r="CG93" s="300">
        <v>0</v>
      </c>
      <c r="CH93" s="300">
        <v>0</v>
      </c>
      <c r="CI93" s="295">
        <f t="shared" si="134"/>
        <v>37500000</v>
      </c>
      <c r="CJ93" s="295">
        <v>32610580</v>
      </c>
      <c r="CK93" s="295">
        <f t="shared" si="143"/>
        <v>4838832</v>
      </c>
      <c r="CL93" s="295">
        <f t="shared" si="144"/>
        <v>3550392</v>
      </c>
      <c r="CM93" s="300">
        <v>0</v>
      </c>
      <c r="CN93" s="300">
        <v>0</v>
      </c>
      <c r="CO93" s="300">
        <v>0</v>
      </c>
      <c r="CP93" s="300">
        <v>0</v>
      </c>
      <c r="CQ93" s="300">
        <v>0</v>
      </c>
      <c r="CR93" s="300">
        <v>0</v>
      </c>
      <c r="CS93" s="300">
        <v>0</v>
      </c>
      <c r="CT93" s="300">
        <v>0</v>
      </c>
      <c r="CU93" s="300">
        <v>0</v>
      </c>
      <c r="CV93" s="300">
        <v>0</v>
      </c>
      <c r="CW93" s="300">
        <v>0</v>
      </c>
      <c r="CX93" s="300">
        <v>0</v>
      </c>
      <c r="CY93" s="300">
        <v>0</v>
      </c>
      <c r="CZ93" s="300">
        <v>0</v>
      </c>
      <c r="DA93" s="300">
        <v>0</v>
      </c>
      <c r="DB93" s="300">
        <v>0</v>
      </c>
      <c r="DC93" s="300">
        <v>0</v>
      </c>
      <c r="DD93" s="300">
        <v>0</v>
      </c>
      <c r="DE93" s="300">
        <v>0</v>
      </c>
      <c r="DF93" s="300">
        <v>0</v>
      </c>
      <c r="DG93" s="300">
        <v>0</v>
      </c>
      <c r="DH93" s="300">
        <v>0</v>
      </c>
      <c r="DI93" s="300">
        <v>0</v>
      </c>
      <c r="DJ93" s="300">
        <v>0</v>
      </c>
      <c r="DK93" s="300">
        <v>0</v>
      </c>
      <c r="DL93" s="300">
        <v>0</v>
      </c>
      <c r="DM93" s="300">
        <v>0</v>
      </c>
      <c r="DN93" s="300">
        <v>0</v>
      </c>
      <c r="DO93" s="300">
        <v>0</v>
      </c>
      <c r="DP93" s="300">
        <v>0</v>
      </c>
      <c r="DQ93" s="300">
        <v>0</v>
      </c>
      <c r="DR93" s="300">
        <v>0</v>
      </c>
      <c r="DS93" s="300">
        <v>0</v>
      </c>
      <c r="DT93" s="300">
        <v>0</v>
      </c>
      <c r="DU93" s="300">
        <v>0</v>
      </c>
      <c r="DV93" s="300">
        <v>0</v>
      </c>
      <c r="DW93" s="311">
        <f t="shared" si="92"/>
        <v>507250000</v>
      </c>
      <c r="DX93" s="311">
        <f t="shared" si="92"/>
        <v>496013946.12124997</v>
      </c>
      <c r="DY93" s="311">
        <f t="shared" si="92"/>
        <v>46588061.141249999</v>
      </c>
      <c r="DZ93" s="311">
        <f t="shared" si="92"/>
        <v>43658029.612500004</v>
      </c>
      <c r="EA93" s="302">
        <f>+SUM(DW84:DW93)-B84</f>
        <v>0</v>
      </c>
    </row>
    <row r="94" spans="1:132" ht="45.75" customHeight="1" x14ac:dyDescent="0.2">
      <c r="A94" s="303" t="s">
        <v>2071</v>
      </c>
      <c r="B94" s="290">
        <f>SUM(B95:B98)</f>
        <v>3785000000</v>
      </c>
      <c r="C94" s="290">
        <f t="shared" ref="C94:DV94" si="145">SUM(C95:C98)</f>
        <v>2792000000</v>
      </c>
      <c r="D94" s="290">
        <f t="shared" si="145"/>
        <v>2359683210</v>
      </c>
      <c r="E94" s="290">
        <f t="shared" si="145"/>
        <v>623648397.42999995</v>
      </c>
      <c r="F94" s="290">
        <f t="shared" si="145"/>
        <v>481521181.43000001</v>
      </c>
      <c r="G94" s="290">
        <f>SUM(G95:G98)</f>
        <v>0</v>
      </c>
      <c r="H94" s="290">
        <f t="shared" si="145"/>
        <v>0</v>
      </c>
      <c r="I94" s="290">
        <f t="shared" si="145"/>
        <v>0</v>
      </c>
      <c r="J94" s="290">
        <f t="shared" si="145"/>
        <v>0</v>
      </c>
      <c r="K94" s="290">
        <f t="shared" si="145"/>
        <v>0</v>
      </c>
      <c r="L94" s="290">
        <f t="shared" si="145"/>
        <v>0</v>
      </c>
      <c r="M94" s="290">
        <f t="shared" si="145"/>
        <v>0</v>
      </c>
      <c r="N94" s="290">
        <f t="shared" si="145"/>
        <v>0</v>
      </c>
      <c r="O94" s="290">
        <f t="shared" si="145"/>
        <v>0</v>
      </c>
      <c r="P94" s="290">
        <f t="shared" si="145"/>
        <v>0</v>
      </c>
      <c r="Q94" s="290">
        <f t="shared" si="145"/>
        <v>0</v>
      </c>
      <c r="R94" s="290">
        <f t="shared" si="145"/>
        <v>0</v>
      </c>
      <c r="S94" s="290">
        <f t="shared" si="145"/>
        <v>0</v>
      </c>
      <c r="T94" s="290">
        <f t="shared" si="145"/>
        <v>0</v>
      </c>
      <c r="U94" s="290">
        <f t="shared" si="145"/>
        <v>0</v>
      </c>
      <c r="V94" s="290">
        <f t="shared" si="145"/>
        <v>0</v>
      </c>
      <c r="W94" s="290">
        <f t="shared" si="145"/>
        <v>0</v>
      </c>
      <c r="X94" s="290">
        <f t="shared" si="145"/>
        <v>0</v>
      </c>
      <c r="Y94" s="290">
        <f t="shared" si="145"/>
        <v>0</v>
      </c>
      <c r="Z94" s="290">
        <f t="shared" si="145"/>
        <v>0</v>
      </c>
      <c r="AA94" s="290">
        <f t="shared" si="145"/>
        <v>0</v>
      </c>
      <c r="AB94" s="290">
        <f t="shared" si="145"/>
        <v>0</v>
      </c>
      <c r="AC94" s="290">
        <f t="shared" si="145"/>
        <v>0</v>
      </c>
      <c r="AD94" s="290">
        <f t="shared" si="145"/>
        <v>0</v>
      </c>
      <c r="AE94" s="290">
        <f t="shared" si="145"/>
        <v>128118537</v>
      </c>
      <c r="AF94" s="290">
        <f t="shared" si="145"/>
        <v>1848000</v>
      </c>
      <c r="AG94" s="290">
        <f t="shared" si="145"/>
        <v>1848000</v>
      </c>
      <c r="AH94" s="290">
        <f t="shared" si="145"/>
        <v>1848000</v>
      </c>
      <c r="AI94" s="290">
        <f t="shared" si="145"/>
        <v>39881463</v>
      </c>
      <c r="AJ94" s="290">
        <f t="shared" si="145"/>
        <v>0</v>
      </c>
      <c r="AK94" s="290">
        <f t="shared" si="145"/>
        <v>0</v>
      </c>
      <c r="AL94" s="290">
        <f t="shared" si="145"/>
        <v>0</v>
      </c>
      <c r="AM94" s="290">
        <f t="shared" si="145"/>
        <v>0</v>
      </c>
      <c r="AN94" s="290">
        <f t="shared" si="145"/>
        <v>0</v>
      </c>
      <c r="AO94" s="290">
        <f t="shared" si="145"/>
        <v>0</v>
      </c>
      <c r="AP94" s="290">
        <f t="shared" si="145"/>
        <v>0</v>
      </c>
      <c r="AQ94" s="290">
        <f t="shared" si="145"/>
        <v>0</v>
      </c>
      <c r="AR94" s="290">
        <f t="shared" si="145"/>
        <v>0</v>
      </c>
      <c r="AS94" s="290">
        <f t="shared" si="145"/>
        <v>0</v>
      </c>
      <c r="AT94" s="290">
        <f t="shared" si="145"/>
        <v>0</v>
      </c>
      <c r="AU94" s="290">
        <f t="shared" si="145"/>
        <v>0</v>
      </c>
      <c r="AV94" s="290">
        <f t="shared" si="145"/>
        <v>0</v>
      </c>
      <c r="AW94" s="290">
        <f t="shared" si="145"/>
        <v>0</v>
      </c>
      <c r="AX94" s="290">
        <f t="shared" si="145"/>
        <v>0</v>
      </c>
      <c r="AY94" s="290">
        <f t="shared" si="145"/>
        <v>300000000</v>
      </c>
      <c r="AZ94" s="290">
        <f t="shared" si="145"/>
        <v>243854989.96000001</v>
      </c>
      <c r="BA94" s="290">
        <f t="shared" si="145"/>
        <v>119627615.90000001</v>
      </c>
      <c r="BB94" s="290">
        <f t="shared" si="145"/>
        <v>113520215.90000001</v>
      </c>
      <c r="BC94" s="290">
        <f>SUM(BC95:BC98)</f>
        <v>0</v>
      </c>
      <c r="BD94" s="290">
        <f t="shared" si="145"/>
        <v>0</v>
      </c>
      <c r="BE94" s="290">
        <f t="shared" si="145"/>
        <v>0</v>
      </c>
      <c r="BF94" s="290">
        <f t="shared" si="145"/>
        <v>0</v>
      </c>
      <c r="BG94" s="290">
        <f t="shared" si="145"/>
        <v>100000000</v>
      </c>
      <c r="BH94" s="290">
        <f t="shared" si="145"/>
        <v>49954671</v>
      </c>
      <c r="BI94" s="290">
        <f t="shared" si="145"/>
        <v>49952271</v>
      </c>
      <c r="BJ94" s="290">
        <f t="shared" si="145"/>
        <v>49952271</v>
      </c>
      <c r="BK94" s="290">
        <f t="shared" si="145"/>
        <v>0</v>
      </c>
      <c r="BL94" s="290">
        <f t="shared" si="145"/>
        <v>0</v>
      </c>
      <c r="BM94" s="290">
        <f t="shared" si="145"/>
        <v>0</v>
      </c>
      <c r="BN94" s="290">
        <f t="shared" si="145"/>
        <v>0</v>
      </c>
      <c r="BO94" s="290">
        <f t="shared" si="145"/>
        <v>12000000</v>
      </c>
      <c r="BP94" s="290">
        <f t="shared" si="145"/>
        <v>4000000</v>
      </c>
      <c r="BQ94" s="290">
        <f t="shared" si="145"/>
        <v>4000000</v>
      </c>
      <c r="BR94" s="290">
        <f t="shared" si="145"/>
        <v>4000000</v>
      </c>
      <c r="BS94" s="290">
        <f t="shared" si="145"/>
        <v>23000000</v>
      </c>
      <c r="BT94" s="290">
        <f t="shared" si="145"/>
        <v>5000000</v>
      </c>
      <c r="BU94" s="290">
        <f t="shared" si="145"/>
        <v>5000000</v>
      </c>
      <c r="BV94" s="290">
        <f t="shared" si="145"/>
        <v>5000000</v>
      </c>
      <c r="BW94" s="290">
        <f t="shared" si="145"/>
        <v>0</v>
      </c>
      <c r="BX94" s="290">
        <f t="shared" si="145"/>
        <v>0</v>
      </c>
      <c r="BY94" s="290">
        <f t="shared" si="145"/>
        <v>0</v>
      </c>
      <c r="BZ94" s="290">
        <f t="shared" si="145"/>
        <v>0</v>
      </c>
      <c r="CA94" s="290">
        <f t="shared" si="145"/>
        <v>0</v>
      </c>
      <c r="CB94" s="290">
        <f t="shared" si="145"/>
        <v>0</v>
      </c>
      <c r="CC94" s="290">
        <f t="shared" si="145"/>
        <v>0</v>
      </c>
      <c r="CD94" s="290">
        <f t="shared" si="145"/>
        <v>0</v>
      </c>
      <c r="CE94" s="290">
        <f t="shared" si="145"/>
        <v>0</v>
      </c>
      <c r="CF94" s="290">
        <f t="shared" si="145"/>
        <v>0</v>
      </c>
      <c r="CG94" s="290">
        <f t="shared" si="145"/>
        <v>0</v>
      </c>
      <c r="CH94" s="290">
        <f t="shared" si="145"/>
        <v>0</v>
      </c>
      <c r="CI94" s="290">
        <f t="shared" si="145"/>
        <v>0</v>
      </c>
      <c r="CJ94" s="290">
        <f t="shared" si="145"/>
        <v>0</v>
      </c>
      <c r="CK94" s="290">
        <f t="shared" si="145"/>
        <v>0</v>
      </c>
      <c r="CL94" s="290">
        <f t="shared" si="145"/>
        <v>0</v>
      </c>
      <c r="CM94" s="290">
        <f t="shared" si="145"/>
        <v>0</v>
      </c>
      <c r="CN94" s="290">
        <f t="shared" si="145"/>
        <v>0</v>
      </c>
      <c r="CO94" s="290">
        <f t="shared" si="145"/>
        <v>0</v>
      </c>
      <c r="CP94" s="290">
        <f t="shared" si="145"/>
        <v>0</v>
      </c>
      <c r="CQ94" s="290">
        <f t="shared" si="145"/>
        <v>0</v>
      </c>
      <c r="CR94" s="290">
        <f t="shared" si="145"/>
        <v>0</v>
      </c>
      <c r="CS94" s="290">
        <f t="shared" si="145"/>
        <v>0</v>
      </c>
      <c r="CT94" s="290">
        <f t="shared" si="145"/>
        <v>0</v>
      </c>
      <c r="CU94" s="290">
        <f t="shared" si="145"/>
        <v>0</v>
      </c>
      <c r="CV94" s="290">
        <f t="shared" si="145"/>
        <v>0</v>
      </c>
      <c r="CW94" s="290">
        <f t="shared" si="145"/>
        <v>0</v>
      </c>
      <c r="CX94" s="290">
        <f t="shared" si="145"/>
        <v>0</v>
      </c>
      <c r="CY94" s="290">
        <f t="shared" si="145"/>
        <v>0</v>
      </c>
      <c r="CZ94" s="290">
        <f t="shared" si="145"/>
        <v>0</v>
      </c>
      <c r="DA94" s="290">
        <f t="shared" si="145"/>
        <v>0</v>
      </c>
      <c r="DB94" s="290">
        <f t="shared" si="145"/>
        <v>0</v>
      </c>
      <c r="DC94" s="290">
        <f t="shared" si="145"/>
        <v>0</v>
      </c>
      <c r="DD94" s="290">
        <f t="shared" si="145"/>
        <v>0</v>
      </c>
      <c r="DE94" s="290">
        <f t="shared" si="145"/>
        <v>0</v>
      </c>
      <c r="DF94" s="290">
        <f t="shared" si="145"/>
        <v>0</v>
      </c>
      <c r="DG94" s="290">
        <f t="shared" si="145"/>
        <v>0</v>
      </c>
      <c r="DH94" s="290">
        <f t="shared" si="145"/>
        <v>0</v>
      </c>
      <c r="DI94" s="290">
        <f t="shared" si="145"/>
        <v>0</v>
      </c>
      <c r="DJ94" s="290">
        <f t="shared" si="145"/>
        <v>0</v>
      </c>
      <c r="DK94" s="290">
        <f t="shared" si="145"/>
        <v>0</v>
      </c>
      <c r="DL94" s="290">
        <f t="shared" si="145"/>
        <v>0</v>
      </c>
      <c r="DM94" s="290">
        <f t="shared" si="145"/>
        <v>0</v>
      </c>
      <c r="DN94" s="290">
        <f t="shared" si="145"/>
        <v>0</v>
      </c>
      <c r="DO94" s="290">
        <f t="shared" si="145"/>
        <v>0</v>
      </c>
      <c r="DP94" s="290">
        <f t="shared" si="145"/>
        <v>0</v>
      </c>
      <c r="DQ94" s="290">
        <f t="shared" si="145"/>
        <v>0</v>
      </c>
      <c r="DR94" s="290">
        <f t="shared" si="145"/>
        <v>0</v>
      </c>
      <c r="DS94" s="290">
        <f t="shared" si="145"/>
        <v>390000000</v>
      </c>
      <c r="DT94" s="290">
        <f t="shared" si="145"/>
        <v>295291841</v>
      </c>
      <c r="DU94" s="290">
        <f t="shared" si="145"/>
        <v>120566564.14</v>
      </c>
      <c r="DV94" s="290">
        <f t="shared" si="145"/>
        <v>100287830</v>
      </c>
      <c r="DW94" s="286">
        <f t="shared" si="92"/>
        <v>3785000000</v>
      </c>
      <c r="DX94" s="286">
        <f t="shared" si="92"/>
        <v>2959632711.96</v>
      </c>
      <c r="DY94" s="286">
        <f t="shared" si="92"/>
        <v>924642848.46999991</v>
      </c>
      <c r="DZ94" s="286">
        <f t="shared" si="92"/>
        <v>756129498.33000004</v>
      </c>
      <c r="EA94" s="291">
        <f>+SUM(DW95:DW98)-B94</f>
        <v>0</v>
      </c>
      <c r="EB94" s="292">
        <f>+DW94-B94</f>
        <v>0</v>
      </c>
    </row>
    <row r="95" spans="1:132" ht="45.75" customHeight="1" x14ac:dyDescent="0.2">
      <c r="A95" s="297" t="s">
        <v>2072</v>
      </c>
      <c r="B95" s="313">
        <f>DW94</f>
        <v>3785000000</v>
      </c>
      <c r="C95" s="299">
        <f>2792000000/4</f>
        <v>698000000</v>
      </c>
      <c r="D95" s="299">
        <f>2359683210/4</f>
        <v>589920802.5</v>
      </c>
      <c r="E95" s="299">
        <f>623648397.43/4</f>
        <v>155912099.35749999</v>
      </c>
      <c r="F95" s="299">
        <f>481521181.43/4</f>
        <v>120380295.3575</v>
      </c>
      <c r="G95" s="299">
        <v>0</v>
      </c>
      <c r="H95" s="299">
        <v>0</v>
      </c>
      <c r="I95" s="299">
        <v>0</v>
      </c>
      <c r="J95" s="299">
        <v>0</v>
      </c>
      <c r="K95" s="299">
        <v>0</v>
      </c>
      <c r="L95" s="299">
        <v>0</v>
      </c>
      <c r="M95" s="299">
        <v>0</v>
      </c>
      <c r="N95" s="299">
        <v>0</v>
      </c>
      <c r="O95" s="299">
        <v>0</v>
      </c>
      <c r="P95" s="299">
        <v>0</v>
      </c>
      <c r="Q95" s="299">
        <v>0</v>
      </c>
      <c r="R95" s="299">
        <v>0</v>
      </c>
      <c r="S95" s="299">
        <v>0</v>
      </c>
      <c r="T95" s="299">
        <v>0</v>
      </c>
      <c r="U95" s="299">
        <v>0</v>
      </c>
      <c r="V95" s="299">
        <v>0</v>
      </c>
      <c r="W95" s="299">
        <v>0</v>
      </c>
      <c r="X95" s="299">
        <v>0</v>
      </c>
      <c r="Y95" s="299">
        <v>0</v>
      </c>
      <c r="Z95" s="299">
        <v>0</v>
      </c>
      <c r="AA95" s="299">
        <v>0</v>
      </c>
      <c r="AB95" s="299">
        <v>0</v>
      </c>
      <c r="AC95" s="299">
        <v>0</v>
      </c>
      <c r="AD95" s="299">
        <v>0</v>
      </c>
      <c r="AE95" s="299">
        <f>128118537/4</f>
        <v>32029634.25</v>
      </c>
      <c r="AF95" s="299">
        <f>1848000/4</f>
        <v>462000</v>
      </c>
      <c r="AG95" s="299">
        <f>1848000/4</f>
        <v>462000</v>
      </c>
      <c r="AH95" s="299">
        <f>1848000/4</f>
        <v>462000</v>
      </c>
      <c r="AI95" s="299">
        <f>39881463/4</f>
        <v>9970365.75</v>
      </c>
      <c r="AJ95" s="299">
        <v>0</v>
      </c>
      <c r="AK95" s="299">
        <v>0</v>
      </c>
      <c r="AL95" s="299">
        <v>0</v>
      </c>
      <c r="AM95" s="299"/>
      <c r="AN95" s="299"/>
      <c r="AO95" s="299"/>
      <c r="AP95" s="299"/>
      <c r="AQ95" s="299"/>
      <c r="AR95" s="299"/>
      <c r="AS95" s="299"/>
      <c r="AT95" s="299"/>
      <c r="AU95" s="300">
        <v>0</v>
      </c>
      <c r="AV95" s="300">
        <v>0</v>
      </c>
      <c r="AW95" s="300">
        <v>0</v>
      </c>
      <c r="AX95" s="300">
        <v>0</v>
      </c>
      <c r="AY95" s="299">
        <f>300000000/4</f>
        <v>75000000</v>
      </c>
      <c r="AZ95" s="299">
        <f>243854989.96/4</f>
        <v>60963747.490000002</v>
      </c>
      <c r="BA95" s="299">
        <f>119627615.9/4</f>
        <v>29906903.975000001</v>
      </c>
      <c r="BB95" s="299">
        <f>113520215.9/4</f>
        <v>28380053.975000001</v>
      </c>
      <c r="BC95" s="300">
        <v>0</v>
      </c>
      <c r="BD95" s="300">
        <v>0</v>
      </c>
      <c r="BE95" s="300">
        <v>0</v>
      </c>
      <c r="BF95" s="300">
        <v>0</v>
      </c>
      <c r="BG95" s="299">
        <f>100000000/4</f>
        <v>25000000</v>
      </c>
      <c r="BH95" s="299">
        <f>49954671/4</f>
        <v>12488667.75</v>
      </c>
      <c r="BI95" s="299">
        <f>49952271/4</f>
        <v>12488067.75</v>
      </c>
      <c r="BJ95" s="299">
        <f>49952271/4</f>
        <v>12488067.75</v>
      </c>
      <c r="BK95" s="300">
        <v>0</v>
      </c>
      <c r="BL95" s="300">
        <v>0</v>
      </c>
      <c r="BM95" s="300">
        <v>0</v>
      </c>
      <c r="BN95" s="300">
        <v>0</v>
      </c>
      <c r="BO95" s="300">
        <f>12000000/4</f>
        <v>3000000</v>
      </c>
      <c r="BP95" s="300">
        <f>4000000/4</f>
        <v>1000000</v>
      </c>
      <c r="BQ95" s="300">
        <f>4000000/4</f>
        <v>1000000</v>
      </c>
      <c r="BR95" s="300">
        <f>4000000/4</f>
        <v>1000000</v>
      </c>
      <c r="BS95" s="300">
        <f>23000000/4</f>
        <v>5750000</v>
      </c>
      <c r="BT95" s="300">
        <f>5000000/4</f>
        <v>1250000</v>
      </c>
      <c r="BU95" s="300">
        <f>5000000/4</f>
        <v>1250000</v>
      </c>
      <c r="BV95" s="300">
        <f>5000000/4</f>
        <v>1250000</v>
      </c>
      <c r="BW95" s="300">
        <v>0</v>
      </c>
      <c r="BX95" s="300">
        <v>0</v>
      </c>
      <c r="BY95" s="300">
        <v>0</v>
      </c>
      <c r="BZ95" s="300">
        <v>0</v>
      </c>
      <c r="CA95" s="300">
        <v>0</v>
      </c>
      <c r="CB95" s="300">
        <v>0</v>
      </c>
      <c r="CC95" s="300">
        <v>0</v>
      </c>
      <c r="CD95" s="300">
        <v>0</v>
      </c>
      <c r="CE95" s="300">
        <v>0</v>
      </c>
      <c r="CF95" s="300">
        <v>0</v>
      </c>
      <c r="CG95" s="300">
        <v>0</v>
      </c>
      <c r="CH95" s="300">
        <v>0</v>
      </c>
      <c r="CI95" s="300">
        <v>0</v>
      </c>
      <c r="CJ95" s="300">
        <v>0</v>
      </c>
      <c r="CK95" s="300">
        <v>0</v>
      </c>
      <c r="CL95" s="300">
        <v>0</v>
      </c>
      <c r="CM95" s="300">
        <v>0</v>
      </c>
      <c r="CN95" s="300">
        <v>0</v>
      </c>
      <c r="CO95" s="300">
        <v>0</v>
      </c>
      <c r="CP95" s="300">
        <v>0</v>
      </c>
      <c r="CQ95" s="300">
        <v>0</v>
      </c>
      <c r="CR95" s="300">
        <v>0</v>
      </c>
      <c r="CS95" s="300">
        <v>0</v>
      </c>
      <c r="CT95" s="300">
        <v>0</v>
      </c>
      <c r="CU95" s="300">
        <v>0</v>
      </c>
      <c r="CV95" s="300">
        <v>0</v>
      </c>
      <c r="CW95" s="300">
        <v>0</v>
      </c>
      <c r="CX95" s="300">
        <v>0</v>
      </c>
      <c r="CY95" s="300">
        <v>0</v>
      </c>
      <c r="CZ95" s="300">
        <v>0</v>
      </c>
      <c r="DA95" s="300">
        <v>0</v>
      </c>
      <c r="DB95" s="300">
        <v>0</v>
      </c>
      <c r="DC95" s="300">
        <v>0</v>
      </c>
      <c r="DD95" s="300">
        <v>0</v>
      </c>
      <c r="DE95" s="300">
        <v>0</v>
      </c>
      <c r="DF95" s="300">
        <v>0</v>
      </c>
      <c r="DG95" s="300">
        <v>0</v>
      </c>
      <c r="DH95" s="300">
        <v>0</v>
      </c>
      <c r="DI95" s="300">
        <v>0</v>
      </c>
      <c r="DJ95" s="300">
        <v>0</v>
      </c>
      <c r="DK95" s="300">
        <v>0</v>
      </c>
      <c r="DL95" s="300">
        <v>0</v>
      </c>
      <c r="DM95" s="300">
        <v>0</v>
      </c>
      <c r="DN95" s="300">
        <v>0</v>
      </c>
      <c r="DO95" s="300">
        <v>0</v>
      </c>
      <c r="DP95" s="300">
        <v>0</v>
      </c>
      <c r="DQ95" s="300">
        <v>0</v>
      </c>
      <c r="DR95" s="300">
        <v>0</v>
      </c>
      <c r="DS95" s="300">
        <f>390000000/4</f>
        <v>97500000</v>
      </c>
      <c r="DT95" s="300">
        <f>295291841/4</f>
        <v>73822960.25</v>
      </c>
      <c r="DU95" s="300">
        <f>120566564.14/4</f>
        <v>30141641.035</v>
      </c>
      <c r="DV95" s="300">
        <f>100287830/4</f>
        <v>25071957.5</v>
      </c>
      <c r="DW95" s="311">
        <f t="shared" si="92"/>
        <v>946250000</v>
      </c>
      <c r="DX95" s="311">
        <f t="shared" si="92"/>
        <v>739908177.99000001</v>
      </c>
      <c r="DY95" s="311">
        <f t="shared" si="92"/>
        <v>231160712.11749998</v>
      </c>
      <c r="DZ95" s="311">
        <f t="shared" si="92"/>
        <v>189032374.58250001</v>
      </c>
      <c r="EA95" s="287"/>
    </row>
    <row r="96" spans="1:132" ht="45.75" customHeight="1" x14ac:dyDescent="0.2">
      <c r="A96" s="297" t="s">
        <v>2073</v>
      </c>
      <c r="B96" s="313"/>
      <c r="C96" s="299">
        <f t="shared" ref="C96:C98" si="146">2792000000/4</f>
        <v>698000000</v>
      </c>
      <c r="D96" s="299">
        <f t="shared" ref="D96:D98" si="147">2359683210/4</f>
        <v>589920802.5</v>
      </c>
      <c r="E96" s="299">
        <f t="shared" ref="E96:E98" si="148">623648397.43/4</f>
        <v>155912099.35749999</v>
      </c>
      <c r="F96" s="299">
        <f t="shared" ref="F96:F98" si="149">481521181.43/4</f>
        <v>120380295.3575</v>
      </c>
      <c r="G96" s="299">
        <v>0</v>
      </c>
      <c r="H96" s="299">
        <v>0</v>
      </c>
      <c r="I96" s="299">
        <v>0</v>
      </c>
      <c r="J96" s="299">
        <v>0</v>
      </c>
      <c r="K96" s="299">
        <v>0</v>
      </c>
      <c r="L96" s="299">
        <v>0</v>
      </c>
      <c r="M96" s="299">
        <v>0</v>
      </c>
      <c r="N96" s="299">
        <v>0</v>
      </c>
      <c r="O96" s="299">
        <v>0</v>
      </c>
      <c r="P96" s="299">
        <v>0</v>
      </c>
      <c r="Q96" s="299">
        <v>0</v>
      </c>
      <c r="R96" s="299">
        <v>0</v>
      </c>
      <c r="S96" s="299">
        <v>0</v>
      </c>
      <c r="T96" s="299">
        <v>0</v>
      </c>
      <c r="U96" s="299">
        <v>0</v>
      </c>
      <c r="V96" s="299">
        <v>0</v>
      </c>
      <c r="W96" s="299">
        <v>0</v>
      </c>
      <c r="X96" s="299">
        <v>0</v>
      </c>
      <c r="Y96" s="299">
        <v>0</v>
      </c>
      <c r="Z96" s="299">
        <v>0</v>
      </c>
      <c r="AA96" s="299">
        <v>0</v>
      </c>
      <c r="AB96" s="299">
        <v>0</v>
      </c>
      <c r="AC96" s="299">
        <v>0</v>
      </c>
      <c r="AD96" s="299">
        <v>0</v>
      </c>
      <c r="AE96" s="299">
        <f t="shared" ref="AE96:AE98" si="150">128118537/4</f>
        <v>32029634.25</v>
      </c>
      <c r="AF96" s="299">
        <f t="shared" ref="AF96:AH98" si="151">1848000/4</f>
        <v>462000</v>
      </c>
      <c r="AG96" s="299">
        <f t="shared" si="151"/>
        <v>462000</v>
      </c>
      <c r="AH96" s="299">
        <f t="shared" si="151"/>
        <v>462000</v>
      </c>
      <c r="AI96" s="299">
        <f t="shared" ref="AI96:AI98" si="152">39881463/4</f>
        <v>9970365.75</v>
      </c>
      <c r="AJ96" s="299">
        <v>0</v>
      </c>
      <c r="AK96" s="299">
        <v>0</v>
      </c>
      <c r="AL96" s="299">
        <v>0</v>
      </c>
      <c r="AM96" s="299"/>
      <c r="AN96" s="299"/>
      <c r="AO96" s="299"/>
      <c r="AP96" s="299"/>
      <c r="AQ96" s="300">
        <v>0</v>
      </c>
      <c r="AR96" s="300">
        <v>0</v>
      </c>
      <c r="AS96" s="300">
        <v>0</v>
      </c>
      <c r="AT96" s="300">
        <v>0</v>
      </c>
      <c r="AU96" s="300">
        <v>0</v>
      </c>
      <c r="AV96" s="300">
        <v>0</v>
      </c>
      <c r="AW96" s="300">
        <v>0</v>
      </c>
      <c r="AX96" s="300">
        <v>0</v>
      </c>
      <c r="AY96" s="299">
        <f t="shared" ref="AY96:AY98" si="153">300000000/4</f>
        <v>75000000</v>
      </c>
      <c r="AZ96" s="299">
        <f t="shared" ref="AZ96:AZ98" si="154">243854989.96/4</f>
        <v>60963747.490000002</v>
      </c>
      <c r="BA96" s="299">
        <f t="shared" ref="BA96:BA98" si="155">119627615.9/4</f>
        <v>29906903.975000001</v>
      </c>
      <c r="BB96" s="299">
        <f t="shared" ref="BB96:BB98" si="156">113520215.9/4</f>
        <v>28380053.975000001</v>
      </c>
      <c r="BC96" s="300">
        <v>0</v>
      </c>
      <c r="BD96" s="300">
        <v>0</v>
      </c>
      <c r="BE96" s="300">
        <v>0</v>
      </c>
      <c r="BF96" s="300">
        <v>0</v>
      </c>
      <c r="BG96" s="299">
        <f t="shared" ref="BG96:BG98" si="157">100000000/4</f>
        <v>25000000</v>
      </c>
      <c r="BH96" s="299">
        <f t="shared" ref="BH96:BH98" si="158">49954671/4</f>
        <v>12488667.75</v>
      </c>
      <c r="BI96" s="299">
        <f t="shared" ref="BI96:BJ98" si="159">49952271/4</f>
        <v>12488067.75</v>
      </c>
      <c r="BJ96" s="299">
        <f t="shared" si="159"/>
        <v>12488067.75</v>
      </c>
      <c r="BK96" s="300">
        <v>0</v>
      </c>
      <c r="BL96" s="300">
        <v>0</v>
      </c>
      <c r="BM96" s="300">
        <v>0</v>
      </c>
      <c r="BN96" s="300">
        <v>0</v>
      </c>
      <c r="BO96" s="300">
        <f t="shared" ref="BO96:BO98" si="160">12000000/4</f>
        <v>3000000</v>
      </c>
      <c r="BP96" s="300">
        <f t="shared" ref="BP96:BR98" si="161">4000000/4</f>
        <v>1000000</v>
      </c>
      <c r="BQ96" s="300">
        <f t="shared" si="161"/>
        <v>1000000</v>
      </c>
      <c r="BR96" s="300">
        <f t="shared" si="161"/>
        <v>1000000</v>
      </c>
      <c r="BS96" s="300">
        <f t="shared" ref="BS96:BS98" si="162">23000000/4</f>
        <v>5750000</v>
      </c>
      <c r="BT96" s="300">
        <f t="shared" ref="BT96:BV98" si="163">5000000/4</f>
        <v>1250000</v>
      </c>
      <c r="BU96" s="300">
        <f t="shared" si="163"/>
        <v>1250000</v>
      </c>
      <c r="BV96" s="300">
        <f t="shared" si="163"/>
        <v>1250000</v>
      </c>
      <c r="BW96" s="300">
        <v>0</v>
      </c>
      <c r="BX96" s="300">
        <v>0</v>
      </c>
      <c r="BY96" s="300">
        <v>0</v>
      </c>
      <c r="BZ96" s="300">
        <v>0</v>
      </c>
      <c r="CA96" s="300">
        <v>0</v>
      </c>
      <c r="CB96" s="300">
        <v>0</v>
      </c>
      <c r="CC96" s="300">
        <v>0</v>
      </c>
      <c r="CD96" s="300">
        <v>0</v>
      </c>
      <c r="CE96" s="300">
        <v>0</v>
      </c>
      <c r="CF96" s="300">
        <v>0</v>
      </c>
      <c r="CG96" s="300">
        <v>0</v>
      </c>
      <c r="CH96" s="300">
        <v>0</v>
      </c>
      <c r="CI96" s="300">
        <v>0</v>
      </c>
      <c r="CJ96" s="300">
        <v>0</v>
      </c>
      <c r="CK96" s="300">
        <v>0</v>
      </c>
      <c r="CL96" s="300">
        <v>0</v>
      </c>
      <c r="CM96" s="300">
        <v>0</v>
      </c>
      <c r="CN96" s="300">
        <v>0</v>
      </c>
      <c r="CO96" s="300">
        <v>0</v>
      </c>
      <c r="CP96" s="300">
        <v>0</v>
      </c>
      <c r="CQ96" s="300">
        <v>0</v>
      </c>
      <c r="CR96" s="300">
        <v>0</v>
      </c>
      <c r="CS96" s="300">
        <v>0</v>
      </c>
      <c r="CT96" s="300">
        <v>0</v>
      </c>
      <c r="CU96" s="300">
        <v>0</v>
      </c>
      <c r="CV96" s="300">
        <v>0</v>
      </c>
      <c r="CW96" s="300">
        <v>0</v>
      </c>
      <c r="CX96" s="300">
        <v>0</v>
      </c>
      <c r="CY96" s="300">
        <v>0</v>
      </c>
      <c r="CZ96" s="300">
        <v>0</v>
      </c>
      <c r="DA96" s="300">
        <v>0</v>
      </c>
      <c r="DB96" s="300">
        <v>0</v>
      </c>
      <c r="DC96" s="300">
        <v>0</v>
      </c>
      <c r="DD96" s="300">
        <v>0</v>
      </c>
      <c r="DE96" s="300">
        <v>0</v>
      </c>
      <c r="DF96" s="300">
        <v>0</v>
      </c>
      <c r="DG96" s="300">
        <v>0</v>
      </c>
      <c r="DH96" s="300">
        <v>0</v>
      </c>
      <c r="DI96" s="300">
        <v>0</v>
      </c>
      <c r="DJ96" s="300">
        <v>0</v>
      </c>
      <c r="DK96" s="300">
        <v>0</v>
      </c>
      <c r="DL96" s="300">
        <v>0</v>
      </c>
      <c r="DM96" s="300">
        <v>0</v>
      </c>
      <c r="DN96" s="300">
        <v>0</v>
      </c>
      <c r="DO96" s="300">
        <v>0</v>
      </c>
      <c r="DP96" s="300">
        <v>0</v>
      </c>
      <c r="DQ96" s="300">
        <v>0</v>
      </c>
      <c r="DR96" s="300">
        <v>0</v>
      </c>
      <c r="DS96" s="300">
        <f>390000000/4</f>
        <v>97500000</v>
      </c>
      <c r="DT96" s="300">
        <f t="shared" ref="DT96:DT98" si="164">295291841/4</f>
        <v>73822960.25</v>
      </c>
      <c r="DU96" s="300">
        <f t="shared" ref="DU96:DU98" si="165">120566564.14/4</f>
        <v>30141641.035</v>
      </c>
      <c r="DV96" s="300">
        <f t="shared" ref="DV96:DV98" si="166">100287830/4</f>
        <v>25071957.5</v>
      </c>
      <c r="DW96" s="311">
        <f t="shared" si="92"/>
        <v>946250000</v>
      </c>
      <c r="DX96" s="311">
        <f t="shared" si="92"/>
        <v>739908177.99000001</v>
      </c>
      <c r="DY96" s="311">
        <f t="shared" si="92"/>
        <v>231160712.11749998</v>
      </c>
      <c r="DZ96" s="311">
        <f t="shared" si="92"/>
        <v>189032374.58250001</v>
      </c>
      <c r="EA96" s="287"/>
    </row>
    <row r="97" spans="1:132" ht="45.75" customHeight="1" x14ac:dyDescent="0.2">
      <c r="A97" s="305" t="s">
        <v>2074</v>
      </c>
      <c r="B97" s="313"/>
      <c r="C97" s="299">
        <f t="shared" si="146"/>
        <v>698000000</v>
      </c>
      <c r="D97" s="299">
        <f t="shared" si="147"/>
        <v>589920802.5</v>
      </c>
      <c r="E97" s="299">
        <f t="shared" si="148"/>
        <v>155912099.35749999</v>
      </c>
      <c r="F97" s="299">
        <f t="shared" si="149"/>
        <v>120380295.3575</v>
      </c>
      <c r="G97" s="306">
        <v>0</v>
      </c>
      <c r="H97" s="306">
        <v>0</v>
      </c>
      <c r="I97" s="306">
        <v>0</v>
      </c>
      <c r="J97" s="306">
        <v>0</v>
      </c>
      <c r="K97" s="306">
        <v>0</v>
      </c>
      <c r="L97" s="306">
        <v>0</v>
      </c>
      <c r="M97" s="306">
        <v>0</v>
      </c>
      <c r="N97" s="306">
        <v>0</v>
      </c>
      <c r="O97" s="306">
        <v>0</v>
      </c>
      <c r="P97" s="306">
        <v>0</v>
      </c>
      <c r="Q97" s="306">
        <v>0</v>
      </c>
      <c r="R97" s="306">
        <v>0</v>
      </c>
      <c r="S97" s="306">
        <v>0</v>
      </c>
      <c r="T97" s="306">
        <v>0</v>
      </c>
      <c r="U97" s="306">
        <v>0</v>
      </c>
      <c r="V97" s="306">
        <v>0</v>
      </c>
      <c r="W97" s="306">
        <v>0</v>
      </c>
      <c r="X97" s="306">
        <v>0</v>
      </c>
      <c r="Y97" s="306">
        <v>0</v>
      </c>
      <c r="Z97" s="306">
        <v>0</v>
      </c>
      <c r="AA97" s="306">
        <v>0</v>
      </c>
      <c r="AB97" s="306">
        <v>0</v>
      </c>
      <c r="AC97" s="306">
        <v>0</v>
      </c>
      <c r="AD97" s="306">
        <v>0</v>
      </c>
      <c r="AE97" s="299">
        <f t="shared" si="150"/>
        <v>32029634.25</v>
      </c>
      <c r="AF97" s="299">
        <f t="shared" si="151"/>
        <v>462000</v>
      </c>
      <c r="AG97" s="299">
        <f t="shared" si="151"/>
        <v>462000</v>
      </c>
      <c r="AH97" s="299">
        <f t="shared" si="151"/>
        <v>462000</v>
      </c>
      <c r="AI97" s="299">
        <f t="shared" si="152"/>
        <v>9970365.75</v>
      </c>
      <c r="AJ97" s="299">
        <v>0</v>
      </c>
      <c r="AK97" s="299">
        <v>0</v>
      </c>
      <c r="AL97" s="299">
        <v>0</v>
      </c>
      <c r="AM97" s="306"/>
      <c r="AN97" s="306"/>
      <c r="AO97" s="306"/>
      <c r="AP97" s="306"/>
      <c r="AQ97" s="306">
        <v>0</v>
      </c>
      <c r="AR97" s="306">
        <v>0</v>
      </c>
      <c r="AS97" s="306">
        <v>0</v>
      </c>
      <c r="AT97" s="306">
        <v>0</v>
      </c>
      <c r="AU97" s="306">
        <v>0</v>
      </c>
      <c r="AV97" s="306">
        <v>0</v>
      </c>
      <c r="AW97" s="306">
        <v>0</v>
      </c>
      <c r="AX97" s="306">
        <v>0</v>
      </c>
      <c r="AY97" s="299">
        <f t="shared" si="153"/>
        <v>75000000</v>
      </c>
      <c r="AZ97" s="299">
        <f t="shared" si="154"/>
        <v>60963747.490000002</v>
      </c>
      <c r="BA97" s="299">
        <f t="shared" si="155"/>
        <v>29906903.975000001</v>
      </c>
      <c r="BB97" s="299">
        <f t="shared" si="156"/>
        <v>28380053.975000001</v>
      </c>
      <c r="BC97" s="306"/>
      <c r="BD97" s="306"/>
      <c r="BE97" s="306"/>
      <c r="BF97" s="306"/>
      <c r="BG97" s="299">
        <f t="shared" si="157"/>
        <v>25000000</v>
      </c>
      <c r="BH97" s="299">
        <f t="shared" si="158"/>
        <v>12488667.75</v>
      </c>
      <c r="BI97" s="299">
        <f t="shared" si="159"/>
        <v>12488067.75</v>
      </c>
      <c r="BJ97" s="299">
        <f t="shared" si="159"/>
        <v>12488067.75</v>
      </c>
      <c r="BK97" s="306">
        <v>0</v>
      </c>
      <c r="BL97" s="306">
        <v>0</v>
      </c>
      <c r="BM97" s="306">
        <v>0</v>
      </c>
      <c r="BN97" s="306">
        <v>0</v>
      </c>
      <c r="BO97" s="300">
        <f t="shared" si="160"/>
        <v>3000000</v>
      </c>
      <c r="BP97" s="300">
        <f t="shared" si="161"/>
        <v>1000000</v>
      </c>
      <c r="BQ97" s="300">
        <f t="shared" si="161"/>
        <v>1000000</v>
      </c>
      <c r="BR97" s="300">
        <f t="shared" si="161"/>
        <v>1000000</v>
      </c>
      <c r="BS97" s="300">
        <f t="shared" si="162"/>
        <v>5750000</v>
      </c>
      <c r="BT97" s="300">
        <f t="shared" si="163"/>
        <v>1250000</v>
      </c>
      <c r="BU97" s="300">
        <f t="shared" si="163"/>
        <v>1250000</v>
      </c>
      <c r="BV97" s="300">
        <f t="shared" si="163"/>
        <v>1250000</v>
      </c>
      <c r="BW97" s="306">
        <v>0</v>
      </c>
      <c r="BX97" s="306">
        <v>0</v>
      </c>
      <c r="BY97" s="306">
        <v>0</v>
      </c>
      <c r="BZ97" s="306">
        <v>0</v>
      </c>
      <c r="CA97" s="306">
        <v>0</v>
      </c>
      <c r="CB97" s="306">
        <v>0</v>
      </c>
      <c r="CC97" s="306">
        <v>0</v>
      </c>
      <c r="CD97" s="306">
        <v>0</v>
      </c>
      <c r="CE97" s="306">
        <v>0</v>
      </c>
      <c r="CF97" s="306">
        <v>0</v>
      </c>
      <c r="CG97" s="306">
        <v>0</v>
      </c>
      <c r="CH97" s="306">
        <v>0</v>
      </c>
      <c r="CI97" s="306">
        <v>0</v>
      </c>
      <c r="CJ97" s="306">
        <v>0</v>
      </c>
      <c r="CK97" s="306">
        <v>0</v>
      </c>
      <c r="CL97" s="306">
        <v>0</v>
      </c>
      <c r="CM97" s="306">
        <v>0</v>
      </c>
      <c r="CN97" s="306">
        <v>0</v>
      </c>
      <c r="CO97" s="306">
        <v>0</v>
      </c>
      <c r="CP97" s="306">
        <v>0</v>
      </c>
      <c r="CQ97" s="306">
        <v>0</v>
      </c>
      <c r="CR97" s="306">
        <v>0</v>
      </c>
      <c r="CS97" s="306">
        <v>0</v>
      </c>
      <c r="CT97" s="306">
        <v>0</v>
      </c>
      <c r="CU97" s="306">
        <v>0</v>
      </c>
      <c r="CV97" s="306">
        <v>0</v>
      </c>
      <c r="CW97" s="306">
        <v>0</v>
      </c>
      <c r="CX97" s="306">
        <v>0</v>
      </c>
      <c r="CY97" s="306">
        <v>0</v>
      </c>
      <c r="CZ97" s="306">
        <v>0</v>
      </c>
      <c r="DA97" s="306">
        <v>0</v>
      </c>
      <c r="DB97" s="306">
        <v>0</v>
      </c>
      <c r="DC97" s="306">
        <v>0</v>
      </c>
      <c r="DD97" s="306">
        <v>0</v>
      </c>
      <c r="DE97" s="306">
        <v>0</v>
      </c>
      <c r="DF97" s="306">
        <v>0</v>
      </c>
      <c r="DG97" s="306">
        <v>0</v>
      </c>
      <c r="DH97" s="306">
        <v>0</v>
      </c>
      <c r="DI97" s="306">
        <v>0</v>
      </c>
      <c r="DJ97" s="306">
        <v>0</v>
      </c>
      <c r="DK97" s="306">
        <v>0</v>
      </c>
      <c r="DL97" s="306">
        <v>0</v>
      </c>
      <c r="DM97" s="306">
        <v>0</v>
      </c>
      <c r="DN97" s="306">
        <v>0</v>
      </c>
      <c r="DO97" s="306">
        <v>0</v>
      </c>
      <c r="DP97" s="306">
        <v>0</v>
      </c>
      <c r="DQ97" s="306">
        <v>0</v>
      </c>
      <c r="DR97" s="306">
        <v>0</v>
      </c>
      <c r="DS97" s="300">
        <f>390000000/4</f>
        <v>97500000</v>
      </c>
      <c r="DT97" s="300">
        <f t="shared" si="164"/>
        <v>73822960.25</v>
      </c>
      <c r="DU97" s="300">
        <f t="shared" si="165"/>
        <v>30141641.035</v>
      </c>
      <c r="DV97" s="300">
        <f t="shared" si="166"/>
        <v>25071957.5</v>
      </c>
      <c r="DW97" s="311">
        <f t="shared" si="92"/>
        <v>946250000</v>
      </c>
      <c r="DX97" s="296">
        <f>+D97+H97+L97+P97+T97+X97+AF97+AJ97+AN97+AR97+AV97+AZ97+BD97+BH97+BL97+BP97+BT97+BX97+CB97+CF97+CJ97+CN97+CR97+CV97+CZ97+DD97+DH97+DL97+DP97+DT97</f>
        <v>739908177.99000001</v>
      </c>
      <c r="DY97" s="296">
        <f>+E97+I97+M97+Q97+U97+Y97+AG97+AK97+AO97+AS97+AW97+BA97+BE97+BI97+BM97+BQ97+BU97+BY97+CC97+CG97+CK97+CO97+CS97+CW97+DA97+DE97+DI97+DM97+DQ97+DU97</f>
        <v>231160712.11749998</v>
      </c>
      <c r="DZ97" s="296">
        <f>+F97+J97+N97+R97+V97+Z97+AH97+AL97+AP97+AT97+AX97+BB97+BF97+BJ97+BN97+BR97+BV97+BZ97+CD97+CH97+CL97+CP97+CT97+CX97+DB97+DF97+DJ97+DN97+DR97+DV97</f>
        <v>189032374.58250001</v>
      </c>
      <c r="EA97" s="314"/>
    </row>
    <row r="98" spans="1:132" ht="45.75" customHeight="1" x14ac:dyDescent="0.2">
      <c r="A98" s="297" t="s">
        <v>2075</v>
      </c>
      <c r="B98" s="313"/>
      <c r="C98" s="299">
        <f t="shared" si="146"/>
        <v>698000000</v>
      </c>
      <c r="D98" s="299">
        <f t="shared" si="147"/>
        <v>589920802.5</v>
      </c>
      <c r="E98" s="299">
        <f t="shared" si="148"/>
        <v>155912099.35749999</v>
      </c>
      <c r="F98" s="299">
        <f t="shared" si="149"/>
        <v>120380295.3575</v>
      </c>
      <c r="G98" s="299">
        <v>0</v>
      </c>
      <c r="H98" s="299">
        <v>0</v>
      </c>
      <c r="I98" s="299">
        <v>0</v>
      </c>
      <c r="J98" s="299">
        <v>0</v>
      </c>
      <c r="K98" s="299">
        <v>0</v>
      </c>
      <c r="L98" s="299">
        <v>0</v>
      </c>
      <c r="M98" s="299">
        <v>0</v>
      </c>
      <c r="N98" s="299">
        <v>0</v>
      </c>
      <c r="O98" s="299">
        <v>0</v>
      </c>
      <c r="P98" s="299">
        <v>0</v>
      </c>
      <c r="Q98" s="299">
        <v>0</v>
      </c>
      <c r="R98" s="299">
        <v>0</v>
      </c>
      <c r="S98" s="299">
        <v>0</v>
      </c>
      <c r="T98" s="299">
        <v>0</v>
      </c>
      <c r="U98" s="299">
        <v>0</v>
      </c>
      <c r="V98" s="299">
        <v>0</v>
      </c>
      <c r="W98" s="299">
        <v>0</v>
      </c>
      <c r="X98" s="299">
        <v>0</v>
      </c>
      <c r="Y98" s="299">
        <v>0</v>
      </c>
      <c r="Z98" s="299">
        <v>0</v>
      </c>
      <c r="AA98" s="299">
        <v>0</v>
      </c>
      <c r="AB98" s="299">
        <v>0</v>
      </c>
      <c r="AC98" s="299">
        <v>0</v>
      </c>
      <c r="AD98" s="299">
        <v>0</v>
      </c>
      <c r="AE98" s="299">
        <f t="shared" si="150"/>
        <v>32029634.25</v>
      </c>
      <c r="AF98" s="299">
        <f t="shared" si="151"/>
        <v>462000</v>
      </c>
      <c r="AG98" s="299">
        <f t="shared" si="151"/>
        <v>462000</v>
      </c>
      <c r="AH98" s="299">
        <f t="shared" si="151"/>
        <v>462000</v>
      </c>
      <c r="AI98" s="299">
        <f t="shared" si="152"/>
        <v>9970365.75</v>
      </c>
      <c r="AJ98" s="299">
        <v>0</v>
      </c>
      <c r="AK98" s="299">
        <v>0</v>
      </c>
      <c r="AL98" s="299">
        <v>0</v>
      </c>
      <c r="AM98" s="299"/>
      <c r="AN98" s="299"/>
      <c r="AO98" s="299"/>
      <c r="AP98" s="299"/>
      <c r="AQ98" s="299"/>
      <c r="AR98" s="299"/>
      <c r="AS98" s="299"/>
      <c r="AT98" s="299"/>
      <c r="AU98" s="300">
        <v>0</v>
      </c>
      <c r="AV98" s="300">
        <v>0</v>
      </c>
      <c r="AW98" s="300">
        <v>0</v>
      </c>
      <c r="AX98" s="300">
        <v>0</v>
      </c>
      <c r="AY98" s="299">
        <f t="shared" si="153"/>
        <v>75000000</v>
      </c>
      <c r="AZ98" s="299">
        <f t="shared" si="154"/>
        <v>60963747.490000002</v>
      </c>
      <c r="BA98" s="299">
        <f t="shared" si="155"/>
        <v>29906903.975000001</v>
      </c>
      <c r="BB98" s="299">
        <f t="shared" si="156"/>
        <v>28380053.975000001</v>
      </c>
      <c r="BC98" s="300">
        <v>0</v>
      </c>
      <c r="BD98" s="300">
        <v>0</v>
      </c>
      <c r="BE98" s="300">
        <v>0</v>
      </c>
      <c r="BF98" s="300">
        <v>0</v>
      </c>
      <c r="BG98" s="299">
        <f t="shared" si="157"/>
        <v>25000000</v>
      </c>
      <c r="BH98" s="299">
        <f t="shared" si="158"/>
        <v>12488667.75</v>
      </c>
      <c r="BI98" s="299">
        <f t="shared" si="159"/>
        <v>12488067.75</v>
      </c>
      <c r="BJ98" s="299">
        <f t="shared" si="159"/>
        <v>12488067.75</v>
      </c>
      <c r="BK98" s="300">
        <v>0</v>
      </c>
      <c r="BL98" s="300">
        <v>0</v>
      </c>
      <c r="BM98" s="300">
        <v>0</v>
      </c>
      <c r="BN98" s="300">
        <v>0</v>
      </c>
      <c r="BO98" s="300">
        <f t="shared" si="160"/>
        <v>3000000</v>
      </c>
      <c r="BP98" s="300">
        <f t="shared" si="161"/>
        <v>1000000</v>
      </c>
      <c r="BQ98" s="300">
        <f>4000000/4</f>
        <v>1000000</v>
      </c>
      <c r="BR98" s="300">
        <f t="shared" si="161"/>
        <v>1000000</v>
      </c>
      <c r="BS98" s="300">
        <f t="shared" si="162"/>
        <v>5750000</v>
      </c>
      <c r="BT98" s="300">
        <f t="shared" si="163"/>
        <v>1250000</v>
      </c>
      <c r="BU98" s="300">
        <f t="shared" si="163"/>
        <v>1250000</v>
      </c>
      <c r="BV98" s="300">
        <f t="shared" si="163"/>
        <v>1250000</v>
      </c>
      <c r="BW98" s="300">
        <v>0</v>
      </c>
      <c r="BX98" s="300">
        <v>0</v>
      </c>
      <c r="BY98" s="300">
        <v>0</v>
      </c>
      <c r="BZ98" s="300">
        <v>0</v>
      </c>
      <c r="CA98" s="300">
        <v>0</v>
      </c>
      <c r="CB98" s="300">
        <v>0</v>
      </c>
      <c r="CC98" s="300">
        <v>0</v>
      </c>
      <c r="CD98" s="300">
        <v>0</v>
      </c>
      <c r="CE98" s="300">
        <v>0</v>
      </c>
      <c r="CF98" s="300">
        <v>0</v>
      </c>
      <c r="CG98" s="300">
        <v>0</v>
      </c>
      <c r="CH98" s="300">
        <v>0</v>
      </c>
      <c r="CI98" s="300">
        <v>0</v>
      </c>
      <c r="CJ98" s="300">
        <v>0</v>
      </c>
      <c r="CK98" s="300">
        <v>0</v>
      </c>
      <c r="CL98" s="300">
        <v>0</v>
      </c>
      <c r="CM98" s="300">
        <v>0</v>
      </c>
      <c r="CN98" s="300">
        <v>0</v>
      </c>
      <c r="CO98" s="300">
        <v>0</v>
      </c>
      <c r="CP98" s="300">
        <v>0</v>
      </c>
      <c r="CQ98" s="300">
        <v>0</v>
      </c>
      <c r="CR98" s="300">
        <v>0</v>
      </c>
      <c r="CS98" s="300">
        <v>0</v>
      </c>
      <c r="CT98" s="300">
        <v>0</v>
      </c>
      <c r="CU98" s="300">
        <v>0</v>
      </c>
      <c r="CV98" s="300">
        <v>0</v>
      </c>
      <c r="CW98" s="300">
        <v>0</v>
      </c>
      <c r="CX98" s="300">
        <v>0</v>
      </c>
      <c r="CY98" s="300">
        <v>0</v>
      </c>
      <c r="CZ98" s="300">
        <v>0</v>
      </c>
      <c r="DA98" s="300">
        <v>0</v>
      </c>
      <c r="DB98" s="300">
        <v>0</v>
      </c>
      <c r="DC98" s="300">
        <v>0</v>
      </c>
      <c r="DD98" s="300">
        <v>0</v>
      </c>
      <c r="DE98" s="300">
        <v>0</v>
      </c>
      <c r="DF98" s="300">
        <v>0</v>
      </c>
      <c r="DG98" s="300">
        <v>0</v>
      </c>
      <c r="DH98" s="300">
        <v>0</v>
      </c>
      <c r="DI98" s="300">
        <v>0</v>
      </c>
      <c r="DJ98" s="300">
        <v>0</v>
      </c>
      <c r="DK98" s="300">
        <v>0</v>
      </c>
      <c r="DL98" s="300">
        <v>0</v>
      </c>
      <c r="DM98" s="300">
        <v>0</v>
      </c>
      <c r="DN98" s="300">
        <v>0</v>
      </c>
      <c r="DO98" s="300">
        <v>0</v>
      </c>
      <c r="DP98" s="300">
        <v>0</v>
      </c>
      <c r="DQ98" s="300">
        <v>0</v>
      </c>
      <c r="DR98" s="300">
        <v>0</v>
      </c>
      <c r="DS98" s="300">
        <f>390000000/4</f>
        <v>97500000</v>
      </c>
      <c r="DT98" s="300">
        <f t="shared" si="164"/>
        <v>73822960.25</v>
      </c>
      <c r="DU98" s="300">
        <f t="shared" si="165"/>
        <v>30141641.035</v>
      </c>
      <c r="DV98" s="300">
        <f t="shared" si="166"/>
        <v>25071957.5</v>
      </c>
      <c r="DW98" s="311">
        <f t="shared" si="92"/>
        <v>946250000</v>
      </c>
      <c r="DX98" s="311">
        <f t="shared" si="92"/>
        <v>739908177.99000001</v>
      </c>
      <c r="DY98" s="311">
        <f t="shared" si="92"/>
        <v>231160712.11749998</v>
      </c>
      <c r="DZ98" s="311">
        <f t="shared" si="92"/>
        <v>189032374.58250001</v>
      </c>
      <c r="EA98" s="302">
        <f>+SUM(DW95:DW98)-B95</f>
        <v>0</v>
      </c>
    </row>
    <row r="99" spans="1:132" ht="45.75" customHeight="1" x14ac:dyDescent="0.2">
      <c r="A99" s="303" t="s">
        <v>2076</v>
      </c>
      <c r="B99" s="290">
        <f>SUM(B100:B102)</f>
        <v>285000000</v>
      </c>
      <c r="C99" s="290">
        <f t="shared" ref="C99:DV99" si="167">SUM(C100:C102)</f>
        <v>200000000</v>
      </c>
      <c r="D99" s="290">
        <f t="shared" si="167"/>
        <v>113934669</v>
      </c>
      <c r="E99" s="290">
        <f t="shared" si="167"/>
        <v>41637685</v>
      </c>
      <c r="F99" s="290">
        <f t="shared" si="167"/>
        <v>32858365</v>
      </c>
      <c r="G99" s="290">
        <f t="shared" si="167"/>
        <v>0</v>
      </c>
      <c r="H99" s="290">
        <f t="shared" si="167"/>
        <v>0</v>
      </c>
      <c r="I99" s="290">
        <f t="shared" si="167"/>
        <v>0</v>
      </c>
      <c r="J99" s="290">
        <f t="shared" si="167"/>
        <v>0</v>
      </c>
      <c r="K99" s="290">
        <f t="shared" si="167"/>
        <v>0</v>
      </c>
      <c r="L99" s="290">
        <f t="shared" si="167"/>
        <v>0</v>
      </c>
      <c r="M99" s="290">
        <f t="shared" si="167"/>
        <v>0</v>
      </c>
      <c r="N99" s="290">
        <f t="shared" si="167"/>
        <v>0</v>
      </c>
      <c r="O99" s="290">
        <f t="shared" si="167"/>
        <v>0</v>
      </c>
      <c r="P99" s="290">
        <f t="shared" si="167"/>
        <v>0</v>
      </c>
      <c r="Q99" s="290">
        <f t="shared" si="167"/>
        <v>0</v>
      </c>
      <c r="R99" s="290">
        <f t="shared" si="167"/>
        <v>0</v>
      </c>
      <c r="S99" s="290">
        <f t="shared" si="167"/>
        <v>0</v>
      </c>
      <c r="T99" s="290">
        <f t="shared" si="167"/>
        <v>0</v>
      </c>
      <c r="U99" s="290">
        <f t="shared" si="167"/>
        <v>0</v>
      </c>
      <c r="V99" s="290">
        <f t="shared" si="167"/>
        <v>0</v>
      </c>
      <c r="W99" s="290">
        <f t="shared" si="167"/>
        <v>0</v>
      </c>
      <c r="X99" s="290">
        <f t="shared" si="167"/>
        <v>0</v>
      </c>
      <c r="Y99" s="290">
        <f t="shared" si="167"/>
        <v>0</v>
      </c>
      <c r="Z99" s="290">
        <f t="shared" si="167"/>
        <v>0</v>
      </c>
      <c r="AA99" s="290">
        <f t="shared" si="167"/>
        <v>0</v>
      </c>
      <c r="AB99" s="290">
        <f t="shared" si="167"/>
        <v>0</v>
      </c>
      <c r="AC99" s="290">
        <f t="shared" si="167"/>
        <v>0</v>
      </c>
      <c r="AD99" s="290">
        <f t="shared" si="167"/>
        <v>0</v>
      </c>
      <c r="AE99" s="290">
        <f t="shared" si="167"/>
        <v>0</v>
      </c>
      <c r="AF99" s="290">
        <f t="shared" si="167"/>
        <v>0</v>
      </c>
      <c r="AG99" s="290">
        <f t="shared" si="167"/>
        <v>0</v>
      </c>
      <c r="AH99" s="290">
        <f t="shared" si="167"/>
        <v>0</v>
      </c>
      <c r="AI99" s="290">
        <f t="shared" si="167"/>
        <v>0</v>
      </c>
      <c r="AJ99" s="290">
        <f t="shared" si="167"/>
        <v>0</v>
      </c>
      <c r="AK99" s="290">
        <f t="shared" si="167"/>
        <v>0</v>
      </c>
      <c r="AL99" s="290">
        <f t="shared" si="167"/>
        <v>0</v>
      </c>
      <c r="AM99" s="290">
        <f t="shared" si="167"/>
        <v>0</v>
      </c>
      <c r="AN99" s="290">
        <f t="shared" si="167"/>
        <v>0</v>
      </c>
      <c r="AO99" s="290">
        <f t="shared" si="167"/>
        <v>0</v>
      </c>
      <c r="AP99" s="290">
        <f t="shared" si="167"/>
        <v>0</v>
      </c>
      <c r="AQ99" s="290">
        <f t="shared" si="167"/>
        <v>0</v>
      </c>
      <c r="AR99" s="290">
        <f t="shared" si="167"/>
        <v>0</v>
      </c>
      <c r="AS99" s="290">
        <f t="shared" si="167"/>
        <v>0</v>
      </c>
      <c r="AT99" s="290">
        <f t="shared" si="167"/>
        <v>0</v>
      </c>
      <c r="AU99" s="290">
        <f t="shared" si="167"/>
        <v>0</v>
      </c>
      <c r="AV99" s="290">
        <f t="shared" si="167"/>
        <v>0</v>
      </c>
      <c r="AW99" s="290">
        <f t="shared" si="167"/>
        <v>0</v>
      </c>
      <c r="AX99" s="290">
        <f t="shared" si="167"/>
        <v>0</v>
      </c>
      <c r="AY99" s="290">
        <f t="shared" si="167"/>
        <v>0</v>
      </c>
      <c r="AZ99" s="290">
        <f t="shared" si="167"/>
        <v>0</v>
      </c>
      <c r="BA99" s="290">
        <f t="shared" si="167"/>
        <v>0</v>
      </c>
      <c r="BB99" s="290">
        <f t="shared" si="167"/>
        <v>0</v>
      </c>
      <c r="BC99" s="290">
        <f t="shared" si="167"/>
        <v>0</v>
      </c>
      <c r="BD99" s="290">
        <f t="shared" si="167"/>
        <v>0</v>
      </c>
      <c r="BE99" s="290">
        <f t="shared" si="167"/>
        <v>0</v>
      </c>
      <c r="BF99" s="290">
        <f t="shared" si="167"/>
        <v>0</v>
      </c>
      <c r="BG99" s="290">
        <f t="shared" si="167"/>
        <v>0</v>
      </c>
      <c r="BH99" s="290">
        <f t="shared" si="167"/>
        <v>0</v>
      </c>
      <c r="BI99" s="290">
        <f t="shared" si="167"/>
        <v>0</v>
      </c>
      <c r="BJ99" s="290">
        <f t="shared" si="167"/>
        <v>0</v>
      </c>
      <c r="BK99" s="290">
        <f t="shared" si="167"/>
        <v>0</v>
      </c>
      <c r="BL99" s="290">
        <f t="shared" si="167"/>
        <v>0</v>
      </c>
      <c r="BM99" s="290">
        <f t="shared" si="167"/>
        <v>0</v>
      </c>
      <c r="BN99" s="290">
        <f t="shared" si="167"/>
        <v>0</v>
      </c>
      <c r="BO99" s="290">
        <f t="shared" si="167"/>
        <v>0</v>
      </c>
      <c r="BP99" s="290">
        <f t="shared" si="167"/>
        <v>0</v>
      </c>
      <c r="BQ99" s="290">
        <f t="shared" si="167"/>
        <v>0</v>
      </c>
      <c r="BR99" s="290">
        <f t="shared" si="167"/>
        <v>0</v>
      </c>
      <c r="BS99" s="290">
        <f t="shared" si="167"/>
        <v>0</v>
      </c>
      <c r="BT99" s="290">
        <f t="shared" si="167"/>
        <v>0</v>
      </c>
      <c r="BU99" s="290">
        <f t="shared" si="167"/>
        <v>0</v>
      </c>
      <c r="BV99" s="290">
        <f t="shared" si="167"/>
        <v>0</v>
      </c>
      <c r="BW99" s="290">
        <f t="shared" si="167"/>
        <v>0</v>
      </c>
      <c r="BX99" s="290">
        <f t="shared" si="167"/>
        <v>0</v>
      </c>
      <c r="BY99" s="290">
        <f t="shared" si="167"/>
        <v>0</v>
      </c>
      <c r="BZ99" s="290">
        <f t="shared" si="167"/>
        <v>0</v>
      </c>
      <c r="CA99" s="290">
        <f t="shared" si="167"/>
        <v>0</v>
      </c>
      <c r="CB99" s="290">
        <f t="shared" si="167"/>
        <v>0</v>
      </c>
      <c r="CC99" s="290">
        <f t="shared" si="167"/>
        <v>0</v>
      </c>
      <c r="CD99" s="290">
        <f t="shared" si="167"/>
        <v>0</v>
      </c>
      <c r="CE99" s="290">
        <f t="shared" si="167"/>
        <v>0</v>
      </c>
      <c r="CF99" s="290">
        <f t="shared" si="167"/>
        <v>0</v>
      </c>
      <c r="CG99" s="290">
        <f t="shared" si="167"/>
        <v>0</v>
      </c>
      <c r="CH99" s="290">
        <f t="shared" si="167"/>
        <v>0</v>
      </c>
      <c r="CI99" s="290">
        <f t="shared" si="167"/>
        <v>0</v>
      </c>
      <c r="CJ99" s="290">
        <f t="shared" si="167"/>
        <v>0</v>
      </c>
      <c r="CK99" s="290">
        <f t="shared" si="167"/>
        <v>0</v>
      </c>
      <c r="CL99" s="290">
        <f t="shared" si="167"/>
        <v>0</v>
      </c>
      <c r="CM99" s="290">
        <f t="shared" si="167"/>
        <v>0</v>
      </c>
      <c r="CN99" s="290">
        <f t="shared" si="167"/>
        <v>0</v>
      </c>
      <c r="CO99" s="290">
        <f t="shared" si="167"/>
        <v>0</v>
      </c>
      <c r="CP99" s="290">
        <f t="shared" si="167"/>
        <v>0</v>
      </c>
      <c r="CQ99" s="290">
        <f t="shared" si="167"/>
        <v>0</v>
      </c>
      <c r="CR99" s="290">
        <f t="shared" si="167"/>
        <v>0</v>
      </c>
      <c r="CS99" s="290">
        <f t="shared" si="167"/>
        <v>0</v>
      </c>
      <c r="CT99" s="290">
        <f t="shared" si="167"/>
        <v>0</v>
      </c>
      <c r="CU99" s="290">
        <f t="shared" si="167"/>
        <v>0</v>
      </c>
      <c r="CV99" s="290">
        <f t="shared" si="167"/>
        <v>0</v>
      </c>
      <c r="CW99" s="290">
        <f t="shared" si="167"/>
        <v>0</v>
      </c>
      <c r="CX99" s="290">
        <f t="shared" si="167"/>
        <v>0</v>
      </c>
      <c r="CY99" s="290">
        <f t="shared" si="167"/>
        <v>0</v>
      </c>
      <c r="CZ99" s="290">
        <f t="shared" si="167"/>
        <v>0</v>
      </c>
      <c r="DA99" s="290">
        <f t="shared" si="167"/>
        <v>0</v>
      </c>
      <c r="DB99" s="290">
        <f t="shared" si="167"/>
        <v>0</v>
      </c>
      <c r="DC99" s="290">
        <f t="shared" si="167"/>
        <v>0</v>
      </c>
      <c r="DD99" s="290">
        <f t="shared" si="167"/>
        <v>0</v>
      </c>
      <c r="DE99" s="290">
        <f t="shared" si="167"/>
        <v>0</v>
      </c>
      <c r="DF99" s="290">
        <f t="shared" si="167"/>
        <v>0</v>
      </c>
      <c r="DG99" s="290">
        <f t="shared" si="167"/>
        <v>0</v>
      </c>
      <c r="DH99" s="290">
        <f t="shared" si="167"/>
        <v>0</v>
      </c>
      <c r="DI99" s="290">
        <f t="shared" si="167"/>
        <v>0</v>
      </c>
      <c r="DJ99" s="290">
        <f t="shared" si="167"/>
        <v>0</v>
      </c>
      <c r="DK99" s="290">
        <f t="shared" si="167"/>
        <v>0</v>
      </c>
      <c r="DL99" s="290">
        <f t="shared" si="167"/>
        <v>0</v>
      </c>
      <c r="DM99" s="290">
        <f t="shared" si="167"/>
        <v>0</v>
      </c>
      <c r="DN99" s="290">
        <f t="shared" si="167"/>
        <v>0</v>
      </c>
      <c r="DO99" s="290">
        <f t="shared" si="167"/>
        <v>0</v>
      </c>
      <c r="DP99" s="290">
        <f t="shared" si="167"/>
        <v>0</v>
      </c>
      <c r="DQ99" s="290">
        <f t="shared" si="167"/>
        <v>0</v>
      </c>
      <c r="DR99" s="290">
        <f t="shared" si="167"/>
        <v>0</v>
      </c>
      <c r="DS99" s="290">
        <f t="shared" si="167"/>
        <v>85000000</v>
      </c>
      <c r="DT99" s="290">
        <f t="shared" si="167"/>
        <v>85000000</v>
      </c>
      <c r="DU99" s="290">
        <f t="shared" si="167"/>
        <v>45065980</v>
      </c>
      <c r="DV99" s="290">
        <f t="shared" si="167"/>
        <v>5131960</v>
      </c>
      <c r="DW99" s="286">
        <f t="shared" si="92"/>
        <v>285000000</v>
      </c>
      <c r="DX99" s="286">
        <f t="shared" si="92"/>
        <v>198934669</v>
      </c>
      <c r="DY99" s="286">
        <f t="shared" si="92"/>
        <v>86703665</v>
      </c>
      <c r="DZ99" s="286">
        <f t="shared" si="92"/>
        <v>37990325</v>
      </c>
      <c r="EA99" s="291">
        <f>+SUM(DW100:DW102)-DW99</f>
        <v>0</v>
      </c>
      <c r="EB99" s="292">
        <f>+DW99-B99</f>
        <v>0</v>
      </c>
    </row>
    <row r="100" spans="1:132" ht="45.75" customHeight="1" x14ac:dyDescent="0.2">
      <c r="A100" s="297" t="s">
        <v>2077</v>
      </c>
      <c r="B100" s="294">
        <f>DW99</f>
        <v>285000000</v>
      </c>
      <c r="C100" s="315">
        <f>200000000/3</f>
        <v>66666666.666666664</v>
      </c>
      <c r="D100" s="299">
        <f>113934669/3</f>
        <v>37978223</v>
      </c>
      <c r="E100" s="299">
        <f>41637685/3</f>
        <v>13879228.333333334</v>
      </c>
      <c r="F100" s="299">
        <f>32858365/3</f>
        <v>10952788.333333334</v>
      </c>
      <c r="G100" s="299">
        <v>0</v>
      </c>
      <c r="H100" s="299">
        <v>0</v>
      </c>
      <c r="I100" s="299">
        <v>0</v>
      </c>
      <c r="J100" s="299">
        <v>0</v>
      </c>
      <c r="K100" s="299">
        <v>0</v>
      </c>
      <c r="L100" s="299">
        <v>0</v>
      </c>
      <c r="M100" s="299">
        <v>0</v>
      </c>
      <c r="N100" s="299">
        <v>0</v>
      </c>
      <c r="O100" s="299">
        <v>0</v>
      </c>
      <c r="P100" s="299">
        <v>0</v>
      </c>
      <c r="Q100" s="299">
        <v>0</v>
      </c>
      <c r="R100" s="299">
        <v>0</v>
      </c>
      <c r="S100" s="299">
        <v>0</v>
      </c>
      <c r="T100" s="299">
        <v>0</v>
      </c>
      <c r="U100" s="299">
        <v>0</v>
      </c>
      <c r="V100" s="299">
        <v>0</v>
      </c>
      <c r="W100" s="299">
        <v>0</v>
      </c>
      <c r="X100" s="299">
        <v>0</v>
      </c>
      <c r="Y100" s="299">
        <v>0</v>
      </c>
      <c r="Z100" s="299">
        <v>0</v>
      </c>
      <c r="AA100" s="299">
        <v>0</v>
      </c>
      <c r="AB100" s="299">
        <v>0</v>
      </c>
      <c r="AC100" s="299">
        <v>0</v>
      </c>
      <c r="AD100" s="299">
        <v>0</v>
      </c>
      <c r="AE100" s="299">
        <v>0</v>
      </c>
      <c r="AF100" s="299">
        <v>0</v>
      </c>
      <c r="AG100" s="299">
        <v>0</v>
      </c>
      <c r="AH100" s="299">
        <v>0</v>
      </c>
      <c r="AI100" s="299">
        <v>0</v>
      </c>
      <c r="AJ100" s="299">
        <v>0</v>
      </c>
      <c r="AK100" s="299">
        <v>0</v>
      </c>
      <c r="AL100" s="299">
        <v>0</v>
      </c>
      <c r="AM100" s="300">
        <v>0</v>
      </c>
      <c r="AN100" s="300">
        <v>0</v>
      </c>
      <c r="AO100" s="300">
        <v>0</v>
      </c>
      <c r="AP100" s="300">
        <v>0</v>
      </c>
      <c r="AQ100" s="300">
        <v>0</v>
      </c>
      <c r="AR100" s="300">
        <v>0</v>
      </c>
      <c r="AS100" s="300">
        <v>0</v>
      </c>
      <c r="AT100" s="300">
        <v>0</v>
      </c>
      <c r="AU100" s="300">
        <v>0</v>
      </c>
      <c r="AV100" s="300">
        <v>0</v>
      </c>
      <c r="AW100" s="300">
        <v>0</v>
      </c>
      <c r="AX100" s="300">
        <v>0</v>
      </c>
      <c r="AY100" s="300">
        <v>0</v>
      </c>
      <c r="AZ100" s="300">
        <v>0</v>
      </c>
      <c r="BA100" s="300">
        <v>0</v>
      </c>
      <c r="BB100" s="300">
        <v>0</v>
      </c>
      <c r="BC100" s="300">
        <v>0</v>
      </c>
      <c r="BD100" s="300">
        <v>0</v>
      </c>
      <c r="BE100" s="300">
        <v>0</v>
      </c>
      <c r="BF100" s="300">
        <v>0</v>
      </c>
      <c r="BG100" s="300">
        <v>0</v>
      </c>
      <c r="BH100" s="300">
        <v>0</v>
      </c>
      <c r="BI100" s="300">
        <v>0</v>
      </c>
      <c r="BJ100" s="300">
        <v>0</v>
      </c>
      <c r="BK100" s="300">
        <v>0</v>
      </c>
      <c r="BL100" s="300">
        <v>0</v>
      </c>
      <c r="BM100" s="300">
        <v>0</v>
      </c>
      <c r="BN100" s="300">
        <v>0</v>
      </c>
      <c r="BO100" s="300">
        <v>0</v>
      </c>
      <c r="BP100" s="300">
        <v>0</v>
      </c>
      <c r="BQ100" s="300">
        <v>0</v>
      </c>
      <c r="BR100" s="300">
        <v>0</v>
      </c>
      <c r="BS100" s="300">
        <v>0</v>
      </c>
      <c r="BT100" s="300">
        <v>0</v>
      </c>
      <c r="BU100" s="300">
        <v>0</v>
      </c>
      <c r="BV100" s="300">
        <v>0</v>
      </c>
      <c r="BW100" s="300">
        <v>0</v>
      </c>
      <c r="BX100" s="300">
        <v>0</v>
      </c>
      <c r="BY100" s="300">
        <v>0</v>
      </c>
      <c r="BZ100" s="300">
        <v>0</v>
      </c>
      <c r="CA100" s="300">
        <v>0</v>
      </c>
      <c r="CB100" s="300">
        <v>0</v>
      </c>
      <c r="CC100" s="300">
        <v>0</v>
      </c>
      <c r="CD100" s="300">
        <v>0</v>
      </c>
      <c r="CE100" s="300">
        <v>0</v>
      </c>
      <c r="CF100" s="300">
        <v>0</v>
      </c>
      <c r="CG100" s="300">
        <v>0</v>
      </c>
      <c r="CH100" s="300">
        <v>0</v>
      </c>
      <c r="CI100" s="300">
        <v>0</v>
      </c>
      <c r="CJ100" s="300">
        <v>0</v>
      </c>
      <c r="CK100" s="300">
        <v>0</v>
      </c>
      <c r="CL100" s="300">
        <v>0</v>
      </c>
      <c r="CM100" s="300">
        <v>0</v>
      </c>
      <c r="CN100" s="300">
        <v>0</v>
      </c>
      <c r="CO100" s="300">
        <v>0</v>
      </c>
      <c r="CP100" s="300">
        <v>0</v>
      </c>
      <c r="CQ100" s="300">
        <v>0</v>
      </c>
      <c r="CR100" s="300">
        <v>0</v>
      </c>
      <c r="CS100" s="300">
        <v>0</v>
      </c>
      <c r="CT100" s="300">
        <v>0</v>
      </c>
      <c r="CU100" s="300">
        <v>0</v>
      </c>
      <c r="CV100" s="300">
        <v>0</v>
      </c>
      <c r="CW100" s="300">
        <v>0</v>
      </c>
      <c r="CX100" s="300">
        <v>0</v>
      </c>
      <c r="CY100" s="300">
        <v>0</v>
      </c>
      <c r="CZ100" s="300">
        <v>0</v>
      </c>
      <c r="DA100" s="300">
        <v>0</v>
      </c>
      <c r="DB100" s="300">
        <v>0</v>
      </c>
      <c r="DC100" s="300">
        <v>0</v>
      </c>
      <c r="DD100" s="300">
        <v>0</v>
      </c>
      <c r="DE100" s="300">
        <v>0</v>
      </c>
      <c r="DF100" s="300">
        <v>0</v>
      </c>
      <c r="DG100" s="300">
        <v>0</v>
      </c>
      <c r="DH100" s="300">
        <v>0</v>
      </c>
      <c r="DI100" s="300">
        <v>0</v>
      </c>
      <c r="DJ100" s="300">
        <v>0</v>
      </c>
      <c r="DK100" s="300">
        <v>0</v>
      </c>
      <c r="DL100" s="300">
        <v>0</v>
      </c>
      <c r="DM100" s="300">
        <v>0</v>
      </c>
      <c r="DN100" s="300">
        <v>0</v>
      </c>
      <c r="DO100" s="300">
        <v>0</v>
      </c>
      <c r="DP100" s="300">
        <v>0</v>
      </c>
      <c r="DQ100" s="300">
        <v>0</v>
      </c>
      <c r="DR100" s="300">
        <v>0</v>
      </c>
      <c r="DS100" s="300">
        <f>85000000/3</f>
        <v>28333333.333333332</v>
      </c>
      <c r="DT100" s="300">
        <f>85000000/3</f>
        <v>28333333.333333332</v>
      </c>
      <c r="DU100" s="300">
        <f>45065980/3</f>
        <v>15021993.333333334</v>
      </c>
      <c r="DV100" s="300">
        <f>5131960/3</f>
        <v>1710653.3333333333</v>
      </c>
      <c r="DW100" s="296">
        <f t="shared" si="92"/>
        <v>95000000</v>
      </c>
      <c r="DX100" s="296">
        <f t="shared" si="92"/>
        <v>66311556.333333328</v>
      </c>
      <c r="DY100" s="296">
        <f t="shared" si="92"/>
        <v>28901221.666666668</v>
      </c>
      <c r="DZ100" s="296">
        <f t="shared" si="92"/>
        <v>12663441.666666668</v>
      </c>
      <c r="EA100" s="287"/>
    </row>
    <row r="101" spans="1:132" ht="45.75" customHeight="1" x14ac:dyDescent="0.2">
      <c r="A101" s="297" t="s">
        <v>2078</v>
      </c>
      <c r="B101" s="298"/>
      <c r="C101" s="315">
        <f t="shared" ref="C101:C102" si="168">200000000/3</f>
        <v>66666666.666666664</v>
      </c>
      <c r="D101" s="299">
        <f t="shared" ref="D101:D102" si="169">113934669/3</f>
        <v>37978223</v>
      </c>
      <c r="E101" s="299">
        <f t="shared" ref="E101:E102" si="170">41637685/3</f>
        <v>13879228.333333334</v>
      </c>
      <c r="F101" s="299">
        <f t="shared" ref="F101:F102" si="171">32858365/3</f>
        <v>10952788.333333334</v>
      </c>
      <c r="G101" s="299">
        <v>0</v>
      </c>
      <c r="H101" s="299">
        <v>0</v>
      </c>
      <c r="I101" s="299">
        <v>0</v>
      </c>
      <c r="J101" s="299">
        <v>0</v>
      </c>
      <c r="K101" s="299">
        <v>0</v>
      </c>
      <c r="L101" s="299">
        <v>0</v>
      </c>
      <c r="M101" s="299">
        <v>0</v>
      </c>
      <c r="N101" s="299">
        <v>0</v>
      </c>
      <c r="O101" s="299">
        <v>0</v>
      </c>
      <c r="P101" s="299">
        <v>0</v>
      </c>
      <c r="Q101" s="299">
        <v>0</v>
      </c>
      <c r="R101" s="299">
        <v>0</v>
      </c>
      <c r="S101" s="299">
        <v>0</v>
      </c>
      <c r="T101" s="299">
        <v>0</v>
      </c>
      <c r="U101" s="299">
        <v>0</v>
      </c>
      <c r="V101" s="299">
        <v>0</v>
      </c>
      <c r="W101" s="299">
        <v>0</v>
      </c>
      <c r="X101" s="299">
        <v>0</v>
      </c>
      <c r="Y101" s="299">
        <v>0</v>
      </c>
      <c r="Z101" s="299">
        <v>0</v>
      </c>
      <c r="AA101" s="299">
        <v>0</v>
      </c>
      <c r="AB101" s="299">
        <v>0</v>
      </c>
      <c r="AC101" s="299">
        <v>0</v>
      </c>
      <c r="AD101" s="299">
        <v>0</v>
      </c>
      <c r="AE101" s="299">
        <v>0</v>
      </c>
      <c r="AF101" s="299">
        <v>0</v>
      </c>
      <c r="AG101" s="299">
        <v>0</v>
      </c>
      <c r="AH101" s="299">
        <v>0</v>
      </c>
      <c r="AI101" s="299">
        <v>0</v>
      </c>
      <c r="AJ101" s="299">
        <v>0</v>
      </c>
      <c r="AK101" s="299">
        <v>0</v>
      </c>
      <c r="AL101" s="299">
        <v>0</v>
      </c>
      <c r="AM101" s="300">
        <v>0</v>
      </c>
      <c r="AN101" s="300">
        <v>0</v>
      </c>
      <c r="AO101" s="300">
        <v>0</v>
      </c>
      <c r="AP101" s="300">
        <v>0</v>
      </c>
      <c r="AQ101" s="300">
        <v>0</v>
      </c>
      <c r="AR101" s="300">
        <v>0</v>
      </c>
      <c r="AS101" s="300">
        <v>0</v>
      </c>
      <c r="AT101" s="300">
        <v>0</v>
      </c>
      <c r="AU101" s="300">
        <v>0</v>
      </c>
      <c r="AV101" s="300">
        <v>0</v>
      </c>
      <c r="AW101" s="300">
        <v>0</v>
      </c>
      <c r="AX101" s="300">
        <v>0</v>
      </c>
      <c r="AY101" s="300">
        <v>0</v>
      </c>
      <c r="AZ101" s="300">
        <v>0</v>
      </c>
      <c r="BA101" s="300">
        <v>0</v>
      </c>
      <c r="BB101" s="300">
        <v>0</v>
      </c>
      <c r="BC101" s="300">
        <v>0</v>
      </c>
      <c r="BD101" s="300">
        <v>0</v>
      </c>
      <c r="BE101" s="300">
        <v>0</v>
      </c>
      <c r="BF101" s="300">
        <v>0</v>
      </c>
      <c r="BG101" s="300">
        <v>0</v>
      </c>
      <c r="BH101" s="300">
        <v>0</v>
      </c>
      <c r="BI101" s="300">
        <v>0</v>
      </c>
      <c r="BJ101" s="300">
        <v>0</v>
      </c>
      <c r="BK101" s="300">
        <v>0</v>
      </c>
      <c r="BL101" s="300">
        <v>0</v>
      </c>
      <c r="BM101" s="300">
        <v>0</v>
      </c>
      <c r="BN101" s="300">
        <v>0</v>
      </c>
      <c r="BO101" s="300">
        <v>0</v>
      </c>
      <c r="BP101" s="300">
        <v>0</v>
      </c>
      <c r="BQ101" s="300">
        <v>0</v>
      </c>
      <c r="BR101" s="300">
        <v>0</v>
      </c>
      <c r="BS101" s="300">
        <v>0</v>
      </c>
      <c r="BT101" s="300">
        <v>0</v>
      </c>
      <c r="BU101" s="300">
        <v>0</v>
      </c>
      <c r="BV101" s="300">
        <v>0</v>
      </c>
      <c r="BW101" s="300">
        <v>0</v>
      </c>
      <c r="BX101" s="300">
        <v>0</v>
      </c>
      <c r="BY101" s="300">
        <v>0</v>
      </c>
      <c r="BZ101" s="300">
        <v>0</v>
      </c>
      <c r="CA101" s="300">
        <v>0</v>
      </c>
      <c r="CB101" s="300">
        <v>0</v>
      </c>
      <c r="CC101" s="300">
        <v>0</v>
      </c>
      <c r="CD101" s="300">
        <v>0</v>
      </c>
      <c r="CE101" s="300">
        <v>0</v>
      </c>
      <c r="CF101" s="300">
        <v>0</v>
      </c>
      <c r="CG101" s="300">
        <v>0</v>
      </c>
      <c r="CH101" s="300">
        <v>0</v>
      </c>
      <c r="CI101" s="300">
        <v>0</v>
      </c>
      <c r="CJ101" s="300">
        <v>0</v>
      </c>
      <c r="CK101" s="300">
        <v>0</v>
      </c>
      <c r="CL101" s="300">
        <v>0</v>
      </c>
      <c r="CM101" s="300">
        <v>0</v>
      </c>
      <c r="CN101" s="300">
        <v>0</v>
      </c>
      <c r="CO101" s="300">
        <v>0</v>
      </c>
      <c r="CP101" s="300">
        <v>0</v>
      </c>
      <c r="CQ101" s="300">
        <v>0</v>
      </c>
      <c r="CR101" s="300">
        <v>0</v>
      </c>
      <c r="CS101" s="300">
        <v>0</v>
      </c>
      <c r="CT101" s="300">
        <v>0</v>
      </c>
      <c r="CU101" s="300">
        <v>0</v>
      </c>
      <c r="CV101" s="300">
        <v>0</v>
      </c>
      <c r="CW101" s="300">
        <v>0</v>
      </c>
      <c r="CX101" s="300">
        <v>0</v>
      </c>
      <c r="CY101" s="300">
        <v>0</v>
      </c>
      <c r="CZ101" s="300">
        <v>0</v>
      </c>
      <c r="DA101" s="300">
        <v>0</v>
      </c>
      <c r="DB101" s="300">
        <v>0</v>
      </c>
      <c r="DC101" s="300">
        <v>0</v>
      </c>
      <c r="DD101" s="300">
        <v>0</v>
      </c>
      <c r="DE101" s="300">
        <v>0</v>
      </c>
      <c r="DF101" s="300">
        <v>0</v>
      </c>
      <c r="DG101" s="300">
        <v>0</v>
      </c>
      <c r="DH101" s="300">
        <v>0</v>
      </c>
      <c r="DI101" s="300">
        <v>0</v>
      </c>
      <c r="DJ101" s="300">
        <v>0</v>
      </c>
      <c r="DK101" s="300">
        <v>0</v>
      </c>
      <c r="DL101" s="300">
        <v>0</v>
      </c>
      <c r="DM101" s="300">
        <v>0</v>
      </c>
      <c r="DN101" s="300">
        <v>0</v>
      </c>
      <c r="DO101" s="300">
        <v>0</v>
      </c>
      <c r="DP101" s="300">
        <v>0</v>
      </c>
      <c r="DQ101" s="300">
        <v>0</v>
      </c>
      <c r="DR101" s="300">
        <v>0</v>
      </c>
      <c r="DS101" s="300">
        <f t="shared" ref="DS101:DT102" si="172">85000000/3</f>
        <v>28333333.333333332</v>
      </c>
      <c r="DT101" s="300">
        <f t="shared" si="172"/>
        <v>28333333.333333332</v>
      </c>
      <c r="DU101" s="300">
        <f t="shared" ref="DU101:DU102" si="173">45065980/3</f>
        <v>15021993.333333334</v>
      </c>
      <c r="DV101" s="300">
        <f t="shared" ref="DV101:DV102" si="174">5131960/3</f>
        <v>1710653.3333333333</v>
      </c>
      <c r="DW101" s="296">
        <f t="shared" ref="DW101:DZ103" si="175">+C101+G101+K101+O101+S101+W101+AA101+AE101+AI101+AM101+AQ101+AU101+AY101+BC101+BG101+BK101+BO101+BS101+BW101+CA101+CE101+CI101+CM101+CQ101+CU101+CY101+DC101+DG101+DK101+DO101+DS101</f>
        <v>95000000</v>
      </c>
      <c r="DX101" s="296">
        <f t="shared" si="175"/>
        <v>66311556.333333328</v>
      </c>
      <c r="DY101" s="296">
        <f t="shared" si="175"/>
        <v>28901221.666666668</v>
      </c>
      <c r="DZ101" s="296">
        <f t="shared" si="175"/>
        <v>12663441.666666668</v>
      </c>
      <c r="EA101" s="287"/>
    </row>
    <row r="102" spans="1:132" ht="45.75" customHeight="1" x14ac:dyDescent="0.2">
      <c r="A102" s="297" t="s">
        <v>2079</v>
      </c>
      <c r="B102" s="301"/>
      <c r="C102" s="315">
        <f t="shared" si="168"/>
        <v>66666666.666666664</v>
      </c>
      <c r="D102" s="299">
        <f t="shared" si="169"/>
        <v>37978223</v>
      </c>
      <c r="E102" s="299">
        <f t="shared" si="170"/>
        <v>13879228.333333334</v>
      </c>
      <c r="F102" s="299">
        <f t="shared" si="171"/>
        <v>10952788.333333334</v>
      </c>
      <c r="G102" s="299">
        <v>0</v>
      </c>
      <c r="H102" s="299">
        <v>0</v>
      </c>
      <c r="I102" s="299">
        <v>0</v>
      </c>
      <c r="J102" s="299">
        <v>0</v>
      </c>
      <c r="K102" s="299">
        <v>0</v>
      </c>
      <c r="L102" s="299">
        <v>0</v>
      </c>
      <c r="M102" s="299">
        <v>0</v>
      </c>
      <c r="N102" s="299">
        <v>0</v>
      </c>
      <c r="O102" s="299">
        <v>0</v>
      </c>
      <c r="P102" s="299">
        <v>0</v>
      </c>
      <c r="Q102" s="299">
        <v>0</v>
      </c>
      <c r="R102" s="299">
        <v>0</v>
      </c>
      <c r="S102" s="299">
        <v>0</v>
      </c>
      <c r="T102" s="299">
        <v>0</v>
      </c>
      <c r="U102" s="299">
        <v>0</v>
      </c>
      <c r="V102" s="299">
        <v>0</v>
      </c>
      <c r="W102" s="299">
        <v>0</v>
      </c>
      <c r="X102" s="299">
        <v>0</v>
      </c>
      <c r="Y102" s="299">
        <v>0</v>
      </c>
      <c r="Z102" s="299">
        <v>0</v>
      </c>
      <c r="AA102" s="299">
        <v>0</v>
      </c>
      <c r="AB102" s="299">
        <v>0</v>
      </c>
      <c r="AC102" s="299">
        <v>0</v>
      </c>
      <c r="AD102" s="299">
        <v>0</v>
      </c>
      <c r="AE102" s="299">
        <v>0</v>
      </c>
      <c r="AF102" s="299">
        <v>0</v>
      </c>
      <c r="AG102" s="299">
        <v>0</v>
      </c>
      <c r="AH102" s="299">
        <v>0</v>
      </c>
      <c r="AI102" s="299">
        <v>0</v>
      </c>
      <c r="AJ102" s="299">
        <v>0</v>
      </c>
      <c r="AK102" s="299">
        <v>0</v>
      </c>
      <c r="AL102" s="299">
        <v>0</v>
      </c>
      <c r="AM102" s="300">
        <v>0</v>
      </c>
      <c r="AN102" s="300">
        <v>0</v>
      </c>
      <c r="AO102" s="300">
        <v>0</v>
      </c>
      <c r="AP102" s="300">
        <v>0</v>
      </c>
      <c r="AQ102" s="300">
        <v>0</v>
      </c>
      <c r="AR102" s="300">
        <v>0</v>
      </c>
      <c r="AS102" s="300">
        <v>0</v>
      </c>
      <c r="AT102" s="300">
        <v>0</v>
      </c>
      <c r="AU102" s="300">
        <v>0</v>
      </c>
      <c r="AV102" s="300">
        <v>0</v>
      </c>
      <c r="AW102" s="300">
        <v>0</v>
      </c>
      <c r="AX102" s="300">
        <v>0</v>
      </c>
      <c r="AY102" s="300">
        <v>0</v>
      </c>
      <c r="AZ102" s="300">
        <v>0</v>
      </c>
      <c r="BA102" s="300">
        <v>0</v>
      </c>
      <c r="BB102" s="300">
        <v>0</v>
      </c>
      <c r="BC102" s="300">
        <v>0</v>
      </c>
      <c r="BD102" s="300">
        <v>0</v>
      </c>
      <c r="BE102" s="300">
        <v>0</v>
      </c>
      <c r="BF102" s="300">
        <v>0</v>
      </c>
      <c r="BG102" s="300">
        <v>0</v>
      </c>
      <c r="BH102" s="300">
        <v>0</v>
      </c>
      <c r="BI102" s="300">
        <v>0</v>
      </c>
      <c r="BJ102" s="300">
        <v>0</v>
      </c>
      <c r="BK102" s="300">
        <v>0</v>
      </c>
      <c r="BL102" s="300">
        <v>0</v>
      </c>
      <c r="BM102" s="300">
        <v>0</v>
      </c>
      <c r="BN102" s="300">
        <v>0</v>
      </c>
      <c r="BO102" s="300">
        <v>0</v>
      </c>
      <c r="BP102" s="300">
        <v>0</v>
      </c>
      <c r="BQ102" s="300">
        <v>0</v>
      </c>
      <c r="BR102" s="300">
        <v>0</v>
      </c>
      <c r="BS102" s="300">
        <v>0</v>
      </c>
      <c r="BT102" s="300">
        <v>0</v>
      </c>
      <c r="BU102" s="300">
        <v>0</v>
      </c>
      <c r="BV102" s="300">
        <v>0</v>
      </c>
      <c r="BW102" s="300">
        <v>0</v>
      </c>
      <c r="BX102" s="300">
        <v>0</v>
      </c>
      <c r="BY102" s="300">
        <v>0</v>
      </c>
      <c r="BZ102" s="300">
        <v>0</v>
      </c>
      <c r="CA102" s="300">
        <v>0</v>
      </c>
      <c r="CB102" s="300">
        <v>0</v>
      </c>
      <c r="CC102" s="300">
        <v>0</v>
      </c>
      <c r="CD102" s="300">
        <v>0</v>
      </c>
      <c r="CE102" s="300">
        <v>0</v>
      </c>
      <c r="CF102" s="300">
        <v>0</v>
      </c>
      <c r="CG102" s="300">
        <v>0</v>
      </c>
      <c r="CH102" s="300">
        <v>0</v>
      </c>
      <c r="CI102" s="300">
        <v>0</v>
      </c>
      <c r="CJ102" s="300">
        <v>0</v>
      </c>
      <c r="CK102" s="300">
        <v>0</v>
      </c>
      <c r="CL102" s="300">
        <v>0</v>
      </c>
      <c r="CM102" s="300">
        <v>0</v>
      </c>
      <c r="CN102" s="300">
        <v>0</v>
      </c>
      <c r="CO102" s="300">
        <v>0</v>
      </c>
      <c r="CP102" s="300">
        <v>0</v>
      </c>
      <c r="CQ102" s="300">
        <v>0</v>
      </c>
      <c r="CR102" s="300">
        <v>0</v>
      </c>
      <c r="CS102" s="300">
        <v>0</v>
      </c>
      <c r="CT102" s="300">
        <v>0</v>
      </c>
      <c r="CU102" s="300">
        <v>0</v>
      </c>
      <c r="CV102" s="300">
        <v>0</v>
      </c>
      <c r="CW102" s="300">
        <v>0</v>
      </c>
      <c r="CX102" s="300">
        <v>0</v>
      </c>
      <c r="CY102" s="300">
        <v>0</v>
      </c>
      <c r="CZ102" s="300">
        <v>0</v>
      </c>
      <c r="DA102" s="300">
        <v>0</v>
      </c>
      <c r="DB102" s="300">
        <v>0</v>
      </c>
      <c r="DC102" s="300">
        <v>0</v>
      </c>
      <c r="DD102" s="300">
        <v>0</v>
      </c>
      <c r="DE102" s="300">
        <v>0</v>
      </c>
      <c r="DF102" s="300">
        <v>0</v>
      </c>
      <c r="DG102" s="300">
        <v>0</v>
      </c>
      <c r="DH102" s="300">
        <v>0</v>
      </c>
      <c r="DI102" s="300">
        <v>0</v>
      </c>
      <c r="DJ102" s="300">
        <v>0</v>
      </c>
      <c r="DK102" s="300">
        <v>0</v>
      </c>
      <c r="DL102" s="300">
        <v>0</v>
      </c>
      <c r="DM102" s="300">
        <v>0</v>
      </c>
      <c r="DN102" s="300">
        <v>0</v>
      </c>
      <c r="DO102" s="300">
        <v>0</v>
      </c>
      <c r="DP102" s="300">
        <v>0</v>
      </c>
      <c r="DQ102" s="300">
        <v>0</v>
      </c>
      <c r="DR102" s="300">
        <v>0</v>
      </c>
      <c r="DS102" s="300">
        <f t="shared" si="172"/>
        <v>28333333.333333332</v>
      </c>
      <c r="DT102" s="300">
        <f t="shared" si="172"/>
        <v>28333333.333333332</v>
      </c>
      <c r="DU102" s="300">
        <f t="shared" si="173"/>
        <v>15021993.333333334</v>
      </c>
      <c r="DV102" s="300">
        <f t="shared" si="174"/>
        <v>1710653.3333333333</v>
      </c>
      <c r="DW102" s="296">
        <f t="shared" si="175"/>
        <v>95000000</v>
      </c>
      <c r="DX102" s="296">
        <f t="shared" si="175"/>
        <v>66311556.333333328</v>
      </c>
      <c r="DY102" s="296">
        <f t="shared" si="175"/>
        <v>28901221.666666668</v>
      </c>
      <c r="DZ102" s="296">
        <f t="shared" si="175"/>
        <v>12663441.666666668</v>
      </c>
      <c r="EA102" s="302">
        <f>+SUM(DW100:DW102)-B100</f>
        <v>0</v>
      </c>
    </row>
    <row r="103" spans="1:132" s="283" customFormat="1" ht="45.75" customHeight="1" x14ac:dyDescent="0.2">
      <c r="A103" s="316" t="s">
        <v>2080</v>
      </c>
      <c r="B103" s="317">
        <f>+B3+B22+B51+B66</f>
        <v>106835059368.07001</v>
      </c>
      <c r="C103" s="317">
        <f>+C3+C22+C51+C66</f>
        <v>15400000000</v>
      </c>
      <c r="D103" s="317">
        <f t="shared" ref="D103:BR103" si="176">+D3+D22+D51+D66</f>
        <v>12603018433</v>
      </c>
      <c r="E103" s="317">
        <f t="shared" si="176"/>
        <v>4279849983.8400002</v>
      </c>
      <c r="F103" s="317">
        <f t="shared" si="176"/>
        <v>3964494560.98</v>
      </c>
      <c r="G103" s="317">
        <f>+G3+G22+G51+G66</f>
        <v>6848029999.0700006</v>
      </c>
      <c r="H103" s="317">
        <f t="shared" si="176"/>
        <v>3599234392.9700003</v>
      </c>
      <c r="I103" s="317">
        <f t="shared" si="176"/>
        <v>222073278.97</v>
      </c>
      <c r="J103" s="317">
        <f t="shared" si="176"/>
        <v>205831158.97</v>
      </c>
      <c r="K103" s="317">
        <f t="shared" si="176"/>
        <v>22126437.359999999</v>
      </c>
      <c r="L103" s="317">
        <f t="shared" si="176"/>
        <v>6507062.6399999987</v>
      </c>
      <c r="M103" s="317">
        <f t="shared" si="176"/>
        <v>2799720</v>
      </c>
      <c r="N103" s="317">
        <f t="shared" si="176"/>
        <v>2799720</v>
      </c>
      <c r="O103" s="317">
        <f t="shared" si="176"/>
        <v>22163015</v>
      </c>
      <c r="P103" s="317">
        <f t="shared" si="176"/>
        <v>22126437.359999999</v>
      </c>
      <c r="Q103" s="317">
        <f t="shared" si="176"/>
        <v>0</v>
      </c>
      <c r="R103" s="317">
        <f t="shared" si="176"/>
        <v>0</v>
      </c>
      <c r="S103" s="317">
        <f t="shared" si="176"/>
        <v>88787681.050000012</v>
      </c>
      <c r="T103" s="317">
        <f t="shared" si="176"/>
        <v>38482560</v>
      </c>
      <c r="U103" s="317">
        <f t="shared" si="176"/>
        <v>8498142</v>
      </c>
      <c r="V103" s="317">
        <f t="shared" si="176"/>
        <v>8498142</v>
      </c>
      <c r="W103" s="317">
        <f t="shared" si="176"/>
        <v>324561729.57999992</v>
      </c>
      <c r="X103" s="317">
        <f t="shared" si="176"/>
        <v>83550027.300000012</v>
      </c>
      <c r="Y103" s="317">
        <f t="shared" si="176"/>
        <v>16454291.999999996</v>
      </c>
      <c r="Z103" s="317">
        <f t="shared" si="176"/>
        <v>11110452.000000002</v>
      </c>
      <c r="AA103" s="317">
        <f t="shared" si="176"/>
        <v>112541076.49000001</v>
      </c>
      <c r="AB103" s="317">
        <f t="shared" si="176"/>
        <v>46950480</v>
      </c>
      <c r="AC103" s="317">
        <f t="shared" si="176"/>
        <v>10547820</v>
      </c>
      <c r="AD103" s="317">
        <f t="shared" si="176"/>
        <v>5700096</v>
      </c>
      <c r="AE103" s="317">
        <f t="shared" si="176"/>
        <v>354880444.72000003</v>
      </c>
      <c r="AF103" s="317">
        <f t="shared" si="176"/>
        <v>12848000</v>
      </c>
      <c r="AG103" s="317">
        <f t="shared" si="176"/>
        <v>1848000</v>
      </c>
      <c r="AH103" s="317">
        <f t="shared" si="176"/>
        <v>1848000</v>
      </c>
      <c r="AI103" s="317">
        <f t="shared" si="176"/>
        <v>39957303.490000002</v>
      </c>
      <c r="AJ103" s="317">
        <f t="shared" si="176"/>
        <v>0</v>
      </c>
      <c r="AK103" s="317">
        <f t="shared" si="176"/>
        <v>0</v>
      </c>
      <c r="AL103" s="317">
        <f t="shared" si="176"/>
        <v>0</v>
      </c>
      <c r="AM103" s="317">
        <f t="shared" si="176"/>
        <v>560000000</v>
      </c>
      <c r="AN103" s="317">
        <f t="shared" si="176"/>
        <v>167757271</v>
      </c>
      <c r="AO103" s="317">
        <f t="shared" si="176"/>
        <v>68160172</v>
      </c>
      <c r="AP103" s="317">
        <f t="shared" si="176"/>
        <v>57890314</v>
      </c>
      <c r="AQ103" s="317">
        <f t="shared" si="176"/>
        <v>0</v>
      </c>
      <c r="AR103" s="317">
        <f t="shared" si="176"/>
        <v>0</v>
      </c>
      <c r="AS103" s="317">
        <f t="shared" si="176"/>
        <v>0</v>
      </c>
      <c r="AT103" s="317">
        <f t="shared" si="176"/>
        <v>0</v>
      </c>
      <c r="AU103" s="317">
        <f t="shared" si="176"/>
        <v>560000000</v>
      </c>
      <c r="AV103" s="317">
        <f t="shared" si="176"/>
        <v>560000000</v>
      </c>
      <c r="AW103" s="317">
        <f t="shared" si="176"/>
        <v>0</v>
      </c>
      <c r="AX103" s="317">
        <f t="shared" si="176"/>
        <v>0</v>
      </c>
      <c r="AY103" s="317">
        <f t="shared" si="176"/>
        <v>640000000</v>
      </c>
      <c r="AZ103" s="317">
        <f t="shared" si="176"/>
        <v>243854989.96000001</v>
      </c>
      <c r="BA103" s="317">
        <f t="shared" si="176"/>
        <v>119627615.90000001</v>
      </c>
      <c r="BB103" s="317">
        <f t="shared" si="176"/>
        <v>113520215.90000001</v>
      </c>
      <c r="BC103" s="317">
        <f t="shared" si="176"/>
        <v>79653011681.309998</v>
      </c>
      <c r="BD103" s="317">
        <f t="shared" si="176"/>
        <v>66638310459.379997</v>
      </c>
      <c r="BE103" s="317">
        <f t="shared" si="176"/>
        <v>22116364358.91</v>
      </c>
      <c r="BF103" s="317">
        <f>+BF3+BF22+BF51+BF66</f>
        <v>21747063445.470001</v>
      </c>
      <c r="BG103" s="317">
        <f t="shared" si="176"/>
        <v>840000000</v>
      </c>
      <c r="BH103" s="317">
        <f t="shared" si="176"/>
        <v>666344697.50000012</v>
      </c>
      <c r="BI103" s="317">
        <f t="shared" si="176"/>
        <v>49952271</v>
      </c>
      <c r="BJ103" s="317">
        <f t="shared" si="176"/>
        <v>49952271</v>
      </c>
      <c r="BK103" s="317">
        <f t="shared" si="176"/>
        <v>350000000</v>
      </c>
      <c r="BL103" s="317">
        <f t="shared" si="176"/>
        <v>300000000</v>
      </c>
      <c r="BM103" s="317">
        <f t="shared" si="176"/>
        <v>0</v>
      </c>
      <c r="BN103" s="317">
        <f t="shared" si="176"/>
        <v>0</v>
      </c>
      <c r="BO103" s="317">
        <f t="shared" si="176"/>
        <v>12000000</v>
      </c>
      <c r="BP103" s="317">
        <f t="shared" si="176"/>
        <v>4000000</v>
      </c>
      <c r="BQ103" s="317">
        <f t="shared" si="176"/>
        <v>4000000</v>
      </c>
      <c r="BR103" s="317">
        <f t="shared" si="176"/>
        <v>4000000</v>
      </c>
      <c r="BS103" s="317">
        <f t="shared" ref="BS103:DV103" si="177">+BS3+BS22+BS51+BS66</f>
        <v>23000000</v>
      </c>
      <c r="BT103" s="317">
        <f t="shared" si="177"/>
        <v>5000000</v>
      </c>
      <c r="BU103" s="317">
        <f t="shared" si="177"/>
        <v>5000000</v>
      </c>
      <c r="BV103" s="317">
        <f t="shared" si="177"/>
        <v>5000000</v>
      </c>
      <c r="BW103" s="317">
        <f t="shared" si="177"/>
        <v>0</v>
      </c>
      <c r="BX103" s="317">
        <f t="shared" si="177"/>
        <v>0</v>
      </c>
      <c r="BY103" s="317">
        <f t="shared" si="177"/>
        <v>0</v>
      </c>
      <c r="BZ103" s="317">
        <f t="shared" si="177"/>
        <v>0</v>
      </c>
      <c r="CA103" s="317">
        <f t="shared" si="177"/>
        <v>0</v>
      </c>
      <c r="CB103" s="317">
        <f t="shared" si="177"/>
        <v>0</v>
      </c>
      <c r="CC103" s="317">
        <f t="shared" si="177"/>
        <v>0</v>
      </c>
      <c r="CD103" s="317">
        <f t="shared" si="177"/>
        <v>0</v>
      </c>
      <c r="CE103" s="317">
        <f t="shared" si="177"/>
        <v>0</v>
      </c>
      <c r="CF103" s="317">
        <f t="shared" si="177"/>
        <v>0</v>
      </c>
      <c r="CG103" s="317">
        <f t="shared" si="177"/>
        <v>0</v>
      </c>
      <c r="CH103" s="317">
        <f t="shared" si="177"/>
        <v>0</v>
      </c>
      <c r="CI103" s="317">
        <f t="shared" si="177"/>
        <v>300000000</v>
      </c>
      <c r="CJ103" s="317">
        <f t="shared" si="177"/>
        <v>260884640</v>
      </c>
      <c r="CK103" s="317">
        <f t="shared" si="177"/>
        <v>38710656</v>
      </c>
      <c r="CL103" s="317">
        <f t="shared" si="177"/>
        <v>28403136</v>
      </c>
      <c r="CM103" s="317">
        <f t="shared" si="177"/>
        <v>56000000</v>
      </c>
      <c r="CN103" s="317">
        <f t="shared" si="177"/>
        <v>0</v>
      </c>
      <c r="CO103" s="317">
        <f t="shared" si="177"/>
        <v>0</v>
      </c>
      <c r="CP103" s="317">
        <f t="shared" si="177"/>
        <v>0</v>
      </c>
      <c r="CQ103" s="317">
        <f t="shared" si="177"/>
        <v>800000</v>
      </c>
      <c r="CR103" s="317">
        <f t="shared" si="177"/>
        <v>0</v>
      </c>
      <c r="CS103" s="317">
        <f t="shared" si="177"/>
        <v>0</v>
      </c>
      <c r="CT103" s="317">
        <f t="shared" si="177"/>
        <v>0</v>
      </c>
      <c r="CU103" s="317">
        <f t="shared" si="177"/>
        <v>800000</v>
      </c>
      <c r="CV103" s="317">
        <f t="shared" si="177"/>
        <v>0</v>
      </c>
      <c r="CW103" s="317">
        <f t="shared" si="177"/>
        <v>0</v>
      </c>
      <c r="CX103" s="317">
        <f t="shared" si="177"/>
        <v>0</v>
      </c>
      <c r="CY103" s="317">
        <f t="shared" si="177"/>
        <v>2500000</v>
      </c>
      <c r="CZ103" s="317">
        <f t="shared" si="177"/>
        <v>0</v>
      </c>
      <c r="DA103" s="317">
        <f t="shared" si="177"/>
        <v>0</v>
      </c>
      <c r="DB103" s="317">
        <f t="shared" si="177"/>
        <v>0</v>
      </c>
      <c r="DC103" s="317">
        <f t="shared" si="177"/>
        <v>2500000</v>
      </c>
      <c r="DD103" s="317">
        <f t="shared" si="177"/>
        <v>2100000</v>
      </c>
      <c r="DE103" s="317">
        <f t="shared" si="177"/>
        <v>2100000</v>
      </c>
      <c r="DF103" s="317">
        <f t="shared" si="177"/>
        <v>2100000</v>
      </c>
      <c r="DG103" s="317">
        <f t="shared" si="177"/>
        <v>46400000</v>
      </c>
      <c r="DH103" s="317">
        <f t="shared" si="177"/>
        <v>0</v>
      </c>
      <c r="DI103" s="317">
        <f t="shared" si="177"/>
        <v>0</v>
      </c>
      <c r="DJ103" s="317">
        <f t="shared" si="177"/>
        <v>0</v>
      </c>
      <c r="DK103" s="317">
        <f t="shared" si="177"/>
        <v>7000000</v>
      </c>
      <c r="DL103" s="317">
        <f t="shared" si="177"/>
        <v>0</v>
      </c>
      <c r="DM103" s="317">
        <f t="shared" si="177"/>
        <v>0</v>
      </c>
      <c r="DN103" s="317">
        <f t="shared" si="177"/>
        <v>0</v>
      </c>
      <c r="DO103" s="317">
        <f t="shared" si="177"/>
        <v>8000000</v>
      </c>
      <c r="DP103" s="317">
        <f t="shared" si="177"/>
        <v>0</v>
      </c>
      <c r="DQ103" s="317">
        <f t="shared" si="177"/>
        <v>0</v>
      </c>
      <c r="DR103" s="317">
        <f t="shared" si="177"/>
        <v>0</v>
      </c>
      <c r="DS103" s="317">
        <f t="shared" si="177"/>
        <v>560000000</v>
      </c>
      <c r="DT103" s="317">
        <f t="shared" si="177"/>
        <v>380291841</v>
      </c>
      <c r="DU103" s="317">
        <f t="shared" si="177"/>
        <v>165632544.13999999</v>
      </c>
      <c r="DV103" s="317">
        <f t="shared" si="177"/>
        <v>105419790</v>
      </c>
      <c r="DW103" s="281">
        <f t="shared" si="175"/>
        <v>106835059368.07001</v>
      </c>
      <c r="DX103" s="281">
        <f t="shared" si="175"/>
        <v>85641261292.110001</v>
      </c>
      <c r="DY103" s="281">
        <f t="shared" si="175"/>
        <v>27111618854.759998</v>
      </c>
      <c r="DZ103" s="281">
        <f t="shared" si="175"/>
        <v>26313631302.32</v>
      </c>
      <c r="EA103" s="318">
        <f>+SUM(DW103-B103)</f>
        <v>0</v>
      </c>
    </row>
    <row r="104" spans="1:132" ht="45.75" customHeight="1" x14ac:dyDescent="0.2">
      <c r="A104" s="319"/>
      <c r="B104" s="320"/>
      <c r="C104" s="320"/>
      <c r="D104" s="320"/>
      <c r="E104" s="320"/>
      <c r="F104" s="320"/>
      <c r="G104" s="320"/>
      <c r="H104" s="320"/>
      <c r="I104" s="320"/>
      <c r="J104" s="320"/>
      <c r="K104" s="320"/>
      <c r="L104" s="320"/>
      <c r="M104" s="320"/>
      <c r="N104" s="320"/>
      <c r="O104" s="320"/>
      <c r="P104" s="320"/>
      <c r="Q104" s="320"/>
      <c r="R104" s="320"/>
      <c r="S104" s="320"/>
      <c r="T104" s="320"/>
      <c r="U104" s="320"/>
      <c r="V104" s="320"/>
      <c r="W104" s="320"/>
      <c r="X104" s="320"/>
      <c r="Y104" s="320"/>
      <c r="Z104" s="320"/>
      <c r="AA104" s="320"/>
      <c r="AB104" s="320"/>
      <c r="AC104" s="320"/>
      <c r="AD104" s="320"/>
      <c r="AE104" s="320"/>
      <c r="AF104" s="320"/>
      <c r="AG104" s="320"/>
      <c r="AH104" s="320"/>
      <c r="AI104" s="320"/>
      <c r="AJ104" s="320"/>
      <c r="AK104" s="320"/>
      <c r="AL104" s="320"/>
      <c r="AM104" s="320"/>
      <c r="AN104" s="320"/>
      <c r="AO104" s="320"/>
      <c r="AP104" s="320"/>
      <c r="AQ104" s="320"/>
      <c r="AR104" s="320"/>
      <c r="AS104" s="320"/>
      <c r="AT104" s="320"/>
      <c r="AU104" s="320"/>
      <c r="AV104" s="320"/>
      <c r="AW104" s="320"/>
      <c r="AX104" s="320"/>
      <c r="AY104" s="320"/>
      <c r="AZ104" s="320"/>
      <c r="BA104" s="320"/>
      <c r="BB104" s="320"/>
      <c r="BC104" s="320"/>
      <c r="BD104" s="320"/>
      <c r="BE104" s="320"/>
      <c r="BF104" s="320"/>
      <c r="BG104" s="320"/>
      <c r="BH104" s="320"/>
      <c r="BI104" s="320"/>
      <c r="BJ104" s="320"/>
      <c r="BK104" s="320"/>
      <c r="BL104" s="320"/>
      <c r="BM104" s="320"/>
      <c r="BN104" s="320"/>
      <c r="BO104" s="320"/>
      <c r="BP104" s="320"/>
      <c r="BQ104" s="320"/>
      <c r="BR104" s="320"/>
      <c r="BS104" s="320"/>
      <c r="BT104" s="320"/>
      <c r="BU104" s="320"/>
      <c r="BV104" s="320"/>
      <c r="BW104" s="320"/>
      <c r="BX104" s="320"/>
      <c r="BY104" s="320"/>
      <c r="BZ104" s="320"/>
      <c r="CA104" s="320"/>
      <c r="CB104" s="320"/>
      <c r="CC104" s="320"/>
      <c r="CD104" s="320"/>
      <c r="CE104" s="320"/>
      <c r="CF104" s="320"/>
      <c r="CG104" s="320"/>
      <c r="CH104" s="320"/>
      <c r="CI104" s="320"/>
      <c r="CJ104" s="320"/>
      <c r="CK104" s="320"/>
      <c r="CL104" s="320"/>
      <c r="CM104" s="320"/>
      <c r="CN104" s="320"/>
      <c r="CO104" s="320"/>
      <c r="CP104" s="320"/>
      <c r="CQ104" s="320"/>
      <c r="CR104" s="320"/>
      <c r="CS104" s="320"/>
      <c r="CT104" s="320"/>
      <c r="CU104" s="320"/>
      <c r="CV104" s="320"/>
      <c r="CW104" s="320"/>
      <c r="CX104" s="320"/>
      <c r="CY104" s="320"/>
      <c r="CZ104" s="320"/>
      <c r="DA104" s="320"/>
      <c r="DB104" s="320"/>
      <c r="DC104" s="320"/>
      <c r="DD104" s="320"/>
      <c r="DE104" s="320"/>
      <c r="DF104" s="320"/>
      <c r="DG104" s="320"/>
      <c r="DH104" s="320"/>
      <c r="DI104" s="320"/>
      <c r="DJ104" s="320"/>
      <c r="DK104" s="320"/>
      <c r="DL104" s="320"/>
      <c r="DM104" s="320"/>
      <c r="DN104" s="320"/>
      <c r="DO104" s="320"/>
      <c r="DP104" s="320"/>
      <c r="DQ104" s="320"/>
      <c r="DR104" s="320"/>
      <c r="DS104" s="320"/>
      <c r="DT104" s="320"/>
      <c r="DU104" s="320"/>
      <c r="DV104" s="320"/>
      <c r="DW104" s="320"/>
      <c r="DX104" s="320"/>
      <c r="DY104" s="320"/>
      <c r="DZ104" s="320"/>
      <c r="EA104" s="321"/>
    </row>
    <row r="105" spans="1:132" ht="46.5" customHeight="1" x14ac:dyDescent="0.2">
      <c r="A105" s="322"/>
      <c r="B105" s="323"/>
      <c r="C105" s="324"/>
      <c r="D105" s="324"/>
      <c r="E105" s="324"/>
      <c r="F105" s="324"/>
      <c r="G105" s="324"/>
      <c r="H105" s="324"/>
      <c r="I105" s="324"/>
      <c r="J105" s="324"/>
      <c r="K105" s="324"/>
      <c r="L105" s="324"/>
      <c r="M105" s="324"/>
      <c r="N105" s="324"/>
      <c r="O105" s="324"/>
      <c r="P105" s="324"/>
      <c r="Q105" s="324"/>
      <c r="R105" s="324"/>
      <c r="S105" s="324"/>
      <c r="T105" s="324"/>
      <c r="U105" s="324"/>
      <c r="V105" s="324"/>
      <c r="W105" s="324"/>
      <c r="X105" s="324"/>
      <c r="Y105" s="324"/>
      <c r="Z105" s="324"/>
      <c r="AA105" s="324"/>
      <c r="AB105" s="324"/>
      <c r="AC105" s="324"/>
      <c r="AD105" s="324"/>
      <c r="AE105" s="324"/>
      <c r="AF105" s="324"/>
      <c r="AG105" s="324"/>
      <c r="AH105" s="324"/>
      <c r="AI105" s="324"/>
      <c r="AJ105" s="324"/>
      <c r="AK105" s="324"/>
      <c r="AL105" s="324"/>
      <c r="AM105" s="324"/>
      <c r="AN105" s="324"/>
      <c r="AO105" s="324"/>
      <c r="AP105" s="324"/>
      <c r="AQ105" s="324"/>
      <c r="AR105" s="324"/>
      <c r="AS105" s="324"/>
      <c r="AT105" s="324"/>
      <c r="AU105" s="325"/>
      <c r="AV105" s="325"/>
      <c r="AW105" s="324"/>
      <c r="AX105" s="325"/>
      <c r="AY105" s="325"/>
      <c r="AZ105" s="325"/>
      <c r="BA105" s="324"/>
      <c r="BB105" s="324"/>
      <c r="BC105" s="324"/>
      <c r="BD105" s="326"/>
      <c r="BE105" s="326"/>
      <c r="BF105" s="326"/>
      <c r="BG105" s="324"/>
      <c r="BH105" s="324"/>
      <c r="BI105" s="324"/>
      <c r="BJ105" s="324"/>
      <c r="BK105" s="324"/>
      <c r="BL105" s="324"/>
      <c r="BM105" s="324"/>
      <c r="BN105" s="324"/>
      <c r="BO105" s="324"/>
      <c r="BP105" s="324"/>
      <c r="BQ105" s="324"/>
      <c r="BR105" s="324"/>
      <c r="BS105" s="324"/>
      <c r="BT105" s="324"/>
      <c r="BU105" s="324"/>
      <c r="BV105" s="324"/>
      <c r="BW105" s="324"/>
      <c r="BX105" s="324"/>
      <c r="BY105" s="324"/>
      <c r="BZ105" s="324"/>
      <c r="CA105" s="324"/>
      <c r="CB105" s="324"/>
      <c r="CC105" s="324"/>
      <c r="CD105" s="324"/>
      <c r="CE105" s="323"/>
      <c r="CF105" s="323"/>
      <c r="CG105" s="323"/>
      <c r="CH105" s="323"/>
      <c r="CI105" s="324"/>
      <c r="CJ105" s="324"/>
      <c r="CK105" s="324"/>
      <c r="CL105" s="324"/>
      <c r="CM105" s="324"/>
      <c r="CN105" s="324"/>
      <c r="CO105" s="324"/>
      <c r="CP105" s="324"/>
      <c r="CQ105" s="324"/>
      <c r="CR105" s="324"/>
      <c r="CS105" s="324"/>
      <c r="CT105" s="324"/>
      <c r="CU105" s="324"/>
      <c r="CV105" s="324"/>
      <c r="CW105" s="324"/>
      <c r="CX105" s="324"/>
      <c r="CY105" s="324"/>
      <c r="CZ105" s="324"/>
      <c r="DA105" s="324"/>
      <c r="DB105" s="324"/>
      <c r="DC105" s="324"/>
      <c r="DD105" s="324"/>
      <c r="DE105" s="324"/>
      <c r="DF105" s="324"/>
      <c r="DG105" s="324"/>
      <c r="DH105" s="324"/>
      <c r="DI105" s="324"/>
      <c r="DJ105" s="324"/>
      <c r="DK105" s="324"/>
      <c r="DL105" s="324"/>
      <c r="DM105" s="324"/>
      <c r="DN105" s="324"/>
      <c r="DO105" s="324"/>
      <c r="DP105" s="324"/>
      <c r="DQ105" s="324"/>
      <c r="DR105" s="324"/>
      <c r="DS105" s="324"/>
      <c r="DT105" s="324"/>
      <c r="DU105" s="324"/>
      <c r="DV105" s="324"/>
      <c r="DW105" s="327"/>
      <c r="DX105" s="327"/>
      <c r="DY105" s="327"/>
      <c r="DZ105" s="327"/>
      <c r="EA105" s="328"/>
    </row>
    <row r="106" spans="1:132" ht="46.5" customHeight="1" x14ac:dyDescent="0.2">
      <c r="A106" s="328"/>
      <c r="B106" s="323"/>
      <c r="C106" s="324"/>
      <c r="D106" s="324"/>
      <c r="E106" s="324"/>
      <c r="F106" s="324"/>
      <c r="G106" s="324"/>
      <c r="H106" s="324"/>
      <c r="I106" s="324"/>
      <c r="J106" s="324"/>
      <c r="K106" s="324"/>
      <c r="L106" s="324"/>
      <c r="M106" s="324"/>
      <c r="N106" s="324"/>
      <c r="O106" s="324"/>
      <c r="P106" s="324"/>
      <c r="Q106" s="324"/>
      <c r="R106" s="324"/>
      <c r="S106" s="324"/>
      <c r="T106" s="324"/>
      <c r="U106" s="324"/>
      <c r="V106" s="324"/>
      <c r="W106" s="324"/>
      <c r="X106" s="324"/>
      <c r="Y106" s="324"/>
      <c r="Z106" s="324"/>
      <c r="AA106" s="324"/>
      <c r="AB106" s="324"/>
      <c r="AC106" s="324"/>
      <c r="AD106" s="324"/>
      <c r="AE106" s="324"/>
      <c r="AF106" s="324"/>
      <c r="AG106" s="324"/>
      <c r="AH106" s="324"/>
      <c r="AI106" s="324"/>
      <c r="AJ106" s="324"/>
      <c r="AK106" s="324"/>
      <c r="AL106" s="324"/>
      <c r="AM106" s="324"/>
      <c r="AN106" s="324"/>
      <c r="AO106" s="324"/>
      <c r="AP106" s="324"/>
      <c r="AQ106" s="324"/>
      <c r="AR106" s="324"/>
      <c r="AS106" s="324"/>
      <c r="AT106" s="324"/>
      <c r="AU106" s="324"/>
      <c r="AV106" s="324"/>
      <c r="AW106" s="324"/>
      <c r="AX106" s="324"/>
      <c r="AY106" s="324"/>
      <c r="AZ106" s="324"/>
      <c r="BA106" s="324"/>
      <c r="BB106" s="324"/>
      <c r="BC106" s="324"/>
      <c r="BD106" s="324"/>
      <c r="BE106" s="324"/>
      <c r="BF106" s="324"/>
      <c r="BG106" s="324"/>
      <c r="BH106" s="324"/>
      <c r="BI106" s="324"/>
      <c r="BJ106" s="324"/>
      <c r="BK106" s="324"/>
      <c r="BL106" s="324"/>
      <c r="BM106" s="324"/>
      <c r="BN106" s="324"/>
      <c r="BO106" s="324"/>
      <c r="BP106" s="324"/>
      <c r="BQ106" s="324"/>
      <c r="BR106" s="324"/>
      <c r="BS106" s="324"/>
      <c r="BT106" s="324"/>
      <c r="BU106" s="324"/>
      <c r="BV106" s="324"/>
      <c r="BW106" s="324"/>
      <c r="BX106" s="324"/>
      <c r="BY106" s="324"/>
      <c r="BZ106" s="324"/>
      <c r="CA106" s="324"/>
      <c r="CB106" s="324"/>
      <c r="CC106" s="324"/>
      <c r="CD106" s="324"/>
      <c r="CE106" s="324"/>
      <c r="CF106" s="324"/>
      <c r="CG106" s="324"/>
      <c r="CH106" s="324"/>
      <c r="CI106" s="324"/>
      <c r="CJ106" s="324"/>
      <c r="CK106" s="324"/>
      <c r="CL106" s="324"/>
      <c r="CM106" s="324"/>
      <c r="CN106" s="324"/>
      <c r="CO106" s="324"/>
      <c r="CP106" s="324"/>
      <c r="CQ106" s="324"/>
      <c r="CR106" s="324"/>
      <c r="CS106" s="324"/>
      <c r="CT106" s="324"/>
      <c r="CU106" s="324"/>
      <c r="CV106" s="324"/>
      <c r="CW106" s="324"/>
      <c r="CX106" s="324"/>
      <c r="CY106" s="324"/>
      <c r="CZ106" s="324"/>
      <c r="DA106" s="324"/>
      <c r="DB106" s="324"/>
      <c r="DC106" s="324"/>
      <c r="DD106" s="324"/>
      <c r="DE106" s="324"/>
      <c r="DF106" s="324"/>
      <c r="DG106" s="324"/>
      <c r="DH106" s="324"/>
      <c r="DI106" s="324"/>
      <c r="DJ106" s="324"/>
      <c r="DK106" s="324"/>
      <c r="DL106" s="324"/>
      <c r="DM106" s="324"/>
      <c r="DN106" s="324"/>
      <c r="DO106" s="324"/>
      <c r="DP106" s="324"/>
      <c r="DQ106" s="324"/>
      <c r="DR106" s="324"/>
      <c r="DS106" s="324"/>
      <c r="DT106" s="324"/>
      <c r="DU106" s="324"/>
      <c r="DV106" s="324"/>
      <c r="DW106" s="329"/>
      <c r="DX106" s="329"/>
      <c r="DY106" s="329"/>
      <c r="DZ106" s="329"/>
      <c r="EA106" s="328"/>
    </row>
    <row r="107" spans="1:132" ht="46.5" customHeight="1" x14ac:dyDescent="0.2">
      <c r="A107" s="328"/>
      <c r="B107" s="324"/>
      <c r="C107" s="324"/>
      <c r="D107" s="324"/>
      <c r="E107" s="324"/>
      <c r="F107" s="324"/>
      <c r="G107" s="324"/>
      <c r="H107" s="324"/>
      <c r="I107" s="324"/>
      <c r="J107" s="324"/>
      <c r="K107" s="324"/>
      <c r="L107" s="324"/>
      <c r="M107" s="324"/>
      <c r="N107" s="324"/>
      <c r="O107" s="324"/>
      <c r="P107" s="324"/>
      <c r="Q107" s="324"/>
      <c r="R107" s="324"/>
      <c r="S107" s="324"/>
      <c r="T107" s="324"/>
      <c r="U107" s="324"/>
      <c r="V107" s="324"/>
      <c r="W107" s="324"/>
      <c r="X107" s="324"/>
      <c r="Y107" s="324"/>
      <c r="Z107" s="324"/>
      <c r="AA107" s="324"/>
      <c r="AB107" s="324"/>
      <c r="AC107" s="324"/>
      <c r="AD107" s="324"/>
      <c r="AE107" s="324"/>
      <c r="AF107" s="324"/>
      <c r="AG107" s="324"/>
      <c r="AH107" s="324"/>
      <c r="AI107" s="324"/>
      <c r="AJ107" s="324"/>
      <c r="AK107" s="324"/>
      <c r="AL107" s="324"/>
      <c r="AM107" s="324"/>
      <c r="AN107" s="324"/>
      <c r="AO107" s="324"/>
      <c r="AP107" s="324"/>
      <c r="AQ107" s="324"/>
      <c r="AR107" s="324"/>
      <c r="AS107" s="324"/>
      <c r="AT107" s="324"/>
      <c r="AU107" s="324"/>
      <c r="AV107" s="324"/>
      <c r="AW107" s="324"/>
      <c r="AX107" s="324"/>
      <c r="AY107" s="324"/>
      <c r="AZ107" s="324"/>
      <c r="BA107" s="324"/>
      <c r="BB107" s="324"/>
      <c r="BC107" s="324"/>
      <c r="BD107" s="324"/>
      <c r="BE107" s="324"/>
      <c r="BF107" s="324"/>
      <c r="BG107" s="324"/>
      <c r="BH107" s="324"/>
      <c r="BI107" s="324"/>
      <c r="BJ107" s="324"/>
      <c r="BK107" s="324"/>
      <c r="BL107" s="324"/>
      <c r="BM107" s="324"/>
      <c r="BN107" s="324"/>
      <c r="BO107" s="324"/>
      <c r="BP107" s="324"/>
      <c r="BQ107" s="324"/>
      <c r="BR107" s="324"/>
      <c r="BS107" s="324"/>
      <c r="BT107" s="324"/>
      <c r="BU107" s="324"/>
      <c r="BV107" s="324"/>
      <c r="BW107" s="324"/>
      <c r="BX107" s="324"/>
      <c r="BY107" s="324"/>
      <c r="BZ107" s="324"/>
      <c r="CA107" s="324"/>
      <c r="CB107" s="324"/>
      <c r="CC107" s="324"/>
      <c r="CD107" s="324"/>
      <c r="CE107" s="324"/>
      <c r="CF107" s="324"/>
      <c r="CG107" s="324"/>
      <c r="CH107" s="324"/>
      <c r="CI107" s="324"/>
      <c r="CJ107" s="324"/>
      <c r="CK107" s="324"/>
      <c r="CL107" s="324"/>
      <c r="CM107" s="324"/>
      <c r="CN107" s="324"/>
      <c r="CO107" s="324"/>
      <c r="CP107" s="324"/>
      <c r="CQ107" s="324"/>
      <c r="CR107" s="324"/>
      <c r="CS107" s="324"/>
      <c r="CT107" s="324"/>
      <c r="CU107" s="324"/>
      <c r="CV107" s="324"/>
      <c r="CW107" s="324"/>
      <c r="CX107" s="324"/>
      <c r="CY107" s="324"/>
      <c r="CZ107" s="324"/>
      <c r="DA107" s="324"/>
      <c r="DB107" s="324"/>
      <c r="DC107" s="324"/>
      <c r="DD107" s="324"/>
      <c r="DE107" s="324"/>
      <c r="DF107" s="324"/>
      <c r="DG107" s="324"/>
      <c r="DH107" s="324"/>
      <c r="DI107" s="324"/>
      <c r="DJ107" s="324"/>
      <c r="DK107" s="324"/>
      <c r="DL107" s="324"/>
      <c r="DM107" s="324"/>
      <c r="DN107" s="324"/>
      <c r="DO107" s="324"/>
      <c r="DP107" s="324"/>
      <c r="DQ107" s="324"/>
      <c r="DR107" s="324"/>
      <c r="DS107" s="324"/>
      <c r="DT107" s="324"/>
      <c r="DU107" s="324"/>
      <c r="DV107" s="324"/>
      <c r="DW107" s="330"/>
      <c r="DX107" s="330"/>
      <c r="DY107" s="330"/>
      <c r="DZ107" s="330"/>
      <c r="EA107" s="328"/>
    </row>
    <row r="108" spans="1:132" ht="46.5" customHeight="1" x14ac:dyDescent="0.2">
      <c r="A108" s="328"/>
      <c r="B108" s="324"/>
      <c r="C108" s="324"/>
      <c r="D108" s="324"/>
      <c r="E108" s="324"/>
      <c r="F108" s="324"/>
      <c r="G108" s="324"/>
      <c r="H108" s="324"/>
      <c r="I108" s="324"/>
      <c r="J108" s="324"/>
      <c r="K108" s="324"/>
      <c r="L108" s="324"/>
      <c r="M108" s="324"/>
      <c r="N108" s="324"/>
      <c r="O108" s="324"/>
      <c r="P108" s="324"/>
      <c r="Q108" s="324"/>
      <c r="R108" s="324"/>
      <c r="S108" s="324"/>
      <c r="T108" s="324"/>
      <c r="U108" s="324"/>
      <c r="V108" s="324"/>
      <c r="W108" s="324"/>
      <c r="X108" s="324"/>
      <c r="Y108" s="324"/>
      <c r="Z108" s="324"/>
      <c r="AA108" s="324"/>
      <c r="AB108" s="324"/>
      <c r="AC108" s="324"/>
      <c r="AD108" s="324"/>
      <c r="AE108" s="324"/>
      <c r="AF108" s="324"/>
      <c r="AG108" s="324"/>
      <c r="AH108" s="324"/>
      <c r="AI108" s="324"/>
      <c r="AJ108" s="324"/>
      <c r="AK108" s="324"/>
      <c r="AL108" s="324"/>
      <c r="AM108" s="324"/>
      <c r="AN108" s="324"/>
      <c r="AO108" s="324"/>
      <c r="AP108" s="324"/>
      <c r="AQ108" s="324"/>
      <c r="AR108" s="324"/>
      <c r="AS108" s="324"/>
      <c r="AT108" s="324"/>
      <c r="AU108" s="324"/>
      <c r="AV108" s="324"/>
      <c r="AW108" s="324"/>
      <c r="AX108" s="324"/>
      <c r="AY108" s="324"/>
      <c r="AZ108" s="324"/>
      <c r="BA108" s="324"/>
      <c r="BB108" s="324"/>
      <c r="BC108" s="324"/>
      <c r="BD108" s="324"/>
      <c r="BE108" s="324"/>
      <c r="BF108" s="324"/>
      <c r="BG108" s="324"/>
      <c r="BH108" s="324"/>
      <c r="BI108" s="324"/>
      <c r="BJ108" s="324"/>
      <c r="BK108" s="324"/>
      <c r="BL108" s="324"/>
      <c r="BM108" s="324"/>
      <c r="BN108" s="324"/>
      <c r="BO108" s="324"/>
      <c r="BP108" s="324"/>
      <c r="BQ108" s="324"/>
      <c r="BR108" s="324"/>
      <c r="BS108" s="324"/>
      <c r="BT108" s="324"/>
      <c r="BU108" s="324"/>
      <c r="BV108" s="324"/>
      <c r="BW108" s="324"/>
      <c r="BX108" s="324"/>
      <c r="BY108" s="324"/>
      <c r="BZ108" s="324"/>
      <c r="CA108" s="324"/>
      <c r="CB108" s="324"/>
      <c r="CC108" s="324"/>
      <c r="CD108" s="324"/>
      <c r="CE108" s="324"/>
      <c r="CF108" s="324"/>
      <c r="CG108" s="324"/>
      <c r="CH108" s="324"/>
      <c r="CI108" s="324"/>
      <c r="CJ108" s="324"/>
      <c r="CK108" s="324"/>
      <c r="CL108" s="324"/>
      <c r="CM108" s="324"/>
      <c r="CN108" s="324"/>
      <c r="CO108" s="324"/>
      <c r="CP108" s="324"/>
      <c r="CQ108" s="324"/>
      <c r="CR108" s="324"/>
      <c r="CS108" s="324"/>
      <c r="CT108" s="324"/>
      <c r="CU108" s="324"/>
      <c r="CV108" s="324"/>
      <c r="CW108" s="324"/>
      <c r="CX108" s="324"/>
      <c r="CY108" s="324"/>
      <c r="CZ108" s="324"/>
      <c r="DA108" s="324"/>
      <c r="DB108" s="324"/>
      <c r="DC108" s="324"/>
      <c r="DD108" s="324"/>
      <c r="DE108" s="324"/>
      <c r="DF108" s="324"/>
      <c r="DG108" s="324"/>
      <c r="DH108" s="324"/>
      <c r="DI108" s="324"/>
      <c r="DJ108" s="324"/>
      <c r="DK108" s="324"/>
      <c r="DL108" s="324"/>
      <c r="DM108" s="324"/>
      <c r="DN108" s="324"/>
      <c r="DO108" s="324"/>
      <c r="DP108" s="324"/>
      <c r="DQ108" s="324"/>
      <c r="DR108" s="324"/>
      <c r="DS108" s="324"/>
      <c r="DT108" s="324"/>
      <c r="DU108" s="324"/>
      <c r="DV108" s="324"/>
      <c r="DW108" s="330"/>
      <c r="DX108" s="330"/>
      <c r="DY108" s="330"/>
      <c r="DZ108" s="330"/>
      <c r="EA108" s="328"/>
    </row>
    <row r="109" spans="1:132" ht="46.5" customHeight="1" x14ac:dyDescent="0.2">
      <c r="A109" s="328"/>
      <c r="B109" s="324"/>
      <c r="C109" s="324"/>
      <c r="D109" s="324"/>
      <c r="E109" s="324"/>
      <c r="F109" s="324"/>
      <c r="G109" s="324"/>
      <c r="H109" s="324"/>
      <c r="I109" s="324"/>
      <c r="J109" s="324"/>
      <c r="K109" s="324"/>
      <c r="L109" s="324"/>
      <c r="M109" s="324"/>
      <c r="N109" s="324"/>
      <c r="O109" s="324"/>
      <c r="P109" s="324"/>
      <c r="Q109" s="324"/>
      <c r="R109" s="324"/>
      <c r="S109" s="324"/>
      <c r="T109" s="324"/>
      <c r="U109" s="324"/>
      <c r="V109" s="324"/>
      <c r="W109" s="324"/>
      <c r="X109" s="324"/>
      <c r="Y109" s="324"/>
      <c r="Z109" s="324"/>
      <c r="AA109" s="324"/>
      <c r="AB109" s="324"/>
      <c r="AC109" s="324"/>
      <c r="AD109" s="324"/>
      <c r="AE109" s="324"/>
      <c r="AF109" s="324"/>
      <c r="AG109" s="324"/>
      <c r="AH109" s="324"/>
      <c r="AI109" s="324"/>
      <c r="AJ109" s="324"/>
      <c r="AK109" s="324"/>
      <c r="AL109" s="324"/>
      <c r="AM109" s="324"/>
      <c r="AN109" s="324"/>
      <c r="AO109" s="324"/>
      <c r="AP109" s="324"/>
      <c r="AQ109" s="324"/>
      <c r="AR109" s="324"/>
      <c r="AS109" s="324"/>
      <c r="AT109" s="324"/>
      <c r="AU109" s="324"/>
      <c r="AV109" s="324"/>
      <c r="AW109" s="324"/>
      <c r="AX109" s="324"/>
      <c r="AY109" s="324"/>
      <c r="AZ109" s="324"/>
      <c r="BA109" s="324"/>
      <c r="BB109" s="324"/>
      <c r="BC109" s="324"/>
      <c r="BD109" s="324"/>
      <c r="BE109" s="324"/>
      <c r="BF109" s="324"/>
      <c r="BG109" s="324"/>
      <c r="BH109" s="324"/>
      <c r="BI109" s="324"/>
      <c r="BJ109" s="324"/>
      <c r="BK109" s="324"/>
      <c r="BL109" s="324"/>
      <c r="BM109" s="324"/>
      <c r="BN109" s="324"/>
      <c r="BO109" s="324"/>
      <c r="BP109" s="324"/>
      <c r="BQ109" s="324"/>
      <c r="BR109" s="324"/>
      <c r="BS109" s="324"/>
      <c r="BT109" s="324"/>
      <c r="BU109" s="324"/>
      <c r="BV109" s="324"/>
      <c r="BW109" s="324"/>
      <c r="BX109" s="324"/>
      <c r="BY109" s="324"/>
      <c r="BZ109" s="324"/>
      <c r="CA109" s="324"/>
      <c r="CB109" s="324"/>
      <c r="CC109" s="324"/>
      <c r="CD109" s="324"/>
      <c r="CE109" s="324"/>
      <c r="CF109" s="324"/>
      <c r="CG109" s="324"/>
      <c r="CH109" s="324"/>
      <c r="CI109" s="324"/>
      <c r="CJ109" s="324"/>
      <c r="CK109" s="324"/>
      <c r="CL109" s="324"/>
      <c r="CM109" s="324"/>
      <c r="CN109" s="324"/>
      <c r="CO109" s="324"/>
      <c r="CP109" s="324"/>
      <c r="CQ109" s="324"/>
      <c r="CR109" s="324"/>
      <c r="CS109" s="324"/>
      <c r="CT109" s="324"/>
      <c r="CU109" s="324"/>
      <c r="CV109" s="324"/>
      <c r="CW109" s="324"/>
      <c r="CX109" s="324"/>
      <c r="CY109" s="324"/>
      <c r="CZ109" s="324"/>
      <c r="DA109" s="324"/>
      <c r="DB109" s="324"/>
      <c r="DC109" s="324"/>
      <c r="DD109" s="324"/>
      <c r="DE109" s="324"/>
      <c r="DF109" s="324"/>
      <c r="DG109" s="324"/>
      <c r="DH109" s="324"/>
      <c r="DI109" s="324"/>
      <c r="DJ109" s="324"/>
      <c r="DK109" s="324"/>
      <c r="DL109" s="324"/>
      <c r="DM109" s="324"/>
      <c r="DN109" s="324"/>
      <c r="DO109" s="324"/>
      <c r="DP109" s="324"/>
      <c r="DQ109" s="324"/>
      <c r="DR109" s="324"/>
      <c r="DS109" s="324"/>
      <c r="DT109" s="324"/>
      <c r="DU109" s="324"/>
      <c r="DV109" s="324"/>
      <c r="DW109" s="330"/>
      <c r="DX109" s="330"/>
      <c r="DY109" s="330"/>
      <c r="DZ109" s="330"/>
      <c r="EA109" s="328"/>
    </row>
    <row r="110" spans="1:132" ht="46.5" customHeight="1" x14ac:dyDescent="0.2">
      <c r="A110" s="328"/>
      <c r="B110" s="331"/>
      <c r="C110" s="329"/>
      <c r="D110" s="329"/>
      <c r="E110" s="329"/>
      <c r="F110" s="329"/>
      <c r="G110" s="329"/>
      <c r="H110" s="329"/>
      <c r="I110" s="329"/>
      <c r="J110" s="329"/>
      <c r="K110" s="329"/>
      <c r="L110" s="329"/>
      <c r="M110" s="329"/>
      <c r="N110" s="329"/>
      <c r="O110" s="329"/>
      <c r="P110" s="329"/>
      <c r="Q110" s="329"/>
      <c r="R110" s="329"/>
      <c r="S110" s="329"/>
      <c r="T110" s="329"/>
      <c r="U110" s="329"/>
      <c r="V110" s="329"/>
      <c r="W110" s="329"/>
      <c r="X110" s="329"/>
      <c r="Y110" s="329"/>
      <c r="Z110" s="329"/>
      <c r="AA110" s="329"/>
      <c r="AB110" s="329"/>
      <c r="AC110" s="329"/>
      <c r="AD110" s="329"/>
      <c r="AE110" s="329"/>
      <c r="AF110" s="329"/>
      <c r="AG110" s="329"/>
      <c r="AH110" s="329"/>
      <c r="AI110" s="329"/>
      <c r="AJ110" s="329"/>
      <c r="AK110" s="329"/>
      <c r="AL110" s="329"/>
      <c r="AM110" s="329"/>
      <c r="AN110" s="329"/>
      <c r="AO110" s="329"/>
      <c r="AP110" s="329"/>
      <c r="AQ110" s="329"/>
      <c r="AR110" s="329"/>
      <c r="AS110" s="329"/>
      <c r="AT110" s="329"/>
      <c r="AU110" s="332"/>
      <c r="AV110" s="332"/>
      <c r="AW110" s="329"/>
      <c r="AX110" s="332"/>
      <c r="AY110" s="333"/>
      <c r="AZ110" s="332"/>
      <c r="BA110" s="329"/>
      <c r="BB110" s="329"/>
      <c r="BC110" s="329"/>
      <c r="BD110" s="329"/>
      <c r="BE110" s="329"/>
      <c r="BF110" s="329"/>
      <c r="BG110" s="329"/>
      <c r="BH110" s="329"/>
      <c r="BI110" s="329"/>
      <c r="BJ110" s="329"/>
      <c r="BK110" s="329"/>
      <c r="BL110" s="329"/>
      <c r="BM110" s="329"/>
      <c r="BN110" s="329"/>
      <c r="BO110" s="334"/>
      <c r="BP110" s="329"/>
      <c r="BQ110" s="329"/>
      <c r="BR110" s="329"/>
      <c r="BS110" s="329"/>
      <c r="BT110" s="329"/>
      <c r="BU110" s="329"/>
      <c r="BV110" s="329"/>
      <c r="BW110" s="329"/>
      <c r="BX110" s="329"/>
      <c r="BY110" s="329"/>
      <c r="BZ110" s="329"/>
      <c r="CA110" s="329"/>
      <c r="CB110" s="329"/>
      <c r="CC110" s="329"/>
      <c r="CD110" s="329"/>
      <c r="CE110" s="329"/>
      <c r="CF110" s="329"/>
      <c r="CG110" s="329"/>
      <c r="CH110" s="329"/>
      <c r="CI110" s="329"/>
      <c r="CJ110" s="329"/>
      <c r="CK110" s="329"/>
      <c r="CL110" s="329"/>
      <c r="CM110" s="329"/>
      <c r="CN110" s="329"/>
      <c r="CO110" s="329"/>
      <c r="CP110" s="329"/>
      <c r="CQ110" s="329"/>
      <c r="CR110" s="329"/>
      <c r="CS110" s="329"/>
      <c r="CT110" s="329"/>
      <c r="CU110" s="329"/>
      <c r="CV110" s="329"/>
      <c r="CW110" s="329"/>
      <c r="CX110" s="329"/>
      <c r="CY110" s="329"/>
      <c r="CZ110" s="329"/>
      <c r="DA110" s="329"/>
      <c r="DB110" s="329"/>
      <c r="DC110" s="329"/>
      <c r="DD110" s="329"/>
      <c r="DE110" s="329"/>
      <c r="DF110" s="329"/>
      <c r="DG110" s="329"/>
      <c r="DH110" s="329"/>
      <c r="DI110" s="329"/>
      <c r="DJ110" s="329"/>
      <c r="DK110" s="329"/>
      <c r="DL110" s="329"/>
      <c r="DM110" s="329"/>
      <c r="DN110" s="329"/>
      <c r="DO110" s="329"/>
      <c r="DP110" s="329"/>
      <c r="DQ110" s="329"/>
      <c r="DR110" s="329"/>
      <c r="DS110" s="329"/>
      <c r="DT110" s="329"/>
      <c r="DU110" s="329"/>
      <c r="DV110" s="329"/>
      <c r="DW110" s="324"/>
      <c r="DX110" s="324"/>
      <c r="DY110" s="324"/>
      <c r="DZ110" s="324"/>
      <c r="EA110" s="328"/>
    </row>
    <row r="111" spans="1:132" ht="46.5" customHeight="1" x14ac:dyDescent="0.2">
      <c r="A111" s="328"/>
      <c r="B111" s="329"/>
      <c r="C111" s="329"/>
      <c r="D111" s="329"/>
      <c r="E111" s="329"/>
      <c r="F111" s="329"/>
      <c r="G111" s="329"/>
      <c r="H111" s="329"/>
      <c r="I111" s="329"/>
      <c r="J111" s="329"/>
      <c r="K111" s="329"/>
      <c r="L111" s="329"/>
      <c r="M111" s="329"/>
      <c r="N111" s="329"/>
      <c r="O111" s="329"/>
      <c r="P111" s="329"/>
      <c r="Q111" s="329"/>
      <c r="R111" s="329"/>
      <c r="S111" s="329"/>
      <c r="T111" s="329"/>
      <c r="U111" s="329"/>
      <c r="V111" s="329"/>
      <c r="W111" s="329"/>
      <c r="X111" s="329"/>
      <c r="Y111" s="329"/>
      <c r="Z111" s="329"/>
      <c r="AA111" s="329"/>
      <c r="AB111" s="329"/>
      <c r="AC111" s="329"/>
      <c r="AD111" s="329"/>
      <c r="AE111" s="329"/>
      <c r="AF111" s="329"/>
      <c r="AG111" s="329"/>
      <c r="AH111" s="329"/>
      <c r="AI111" s="329"/>
      <c r="AJ111" s="329"/>
      <c r="AK111" s="329"/>
      <c r="AL111" s="329"/>
      <c r="AM111" s="329"/>
      <c r="AN111" s="329"/>
      <c r="AO111" s="329"/>
      <c r="AP111" s="329"/>
      <c r="AQ111" s="329"/>
      <c r="AR111" s="329"/>
      <c r="AS111" s="329"/>
      <c r="AT111" s="329"/>
      <c r="AU111" s="332"/>
      <c r="AV111" s="332"/>
      <c r="AW111" s="329"/>
      <c r="AX111" s="332"/>
      <c r="AY111" s="332"/>
      <c r="AZ111" s="332"/>
      <c r="BA111" s="329"/>
      <c r="BB111" s="329"/>
      <c r="BC111" s="329"/>
      <c r="BD111" s="329"/>
      <c r="BE111" s="329"/>
      <c r="BF111" s="329"/>
      <c r="BG111" s="329"/>
      <c r="BH111" s="329"/>
      <c r="BI111" s="329"/>
      <c r="BJ111" s="329"/>
      <c r="BK111" s="329"/>
      <c r="BL111" s="329"/>
      <c r="BM111" s="329"/>
      <c r="BN111" s="329"/>
      <c r="BO111" s="329"/>
      <c r="BP111" s="329"/>
      <c r="BQ111" s="329"/>
      <c r="BR111" s="329"/>
      <c r="BS111" s="329"/>
      <c r="BT111" s="329"/>
      <c r="BU111" s="329"/>
      <c r="BV111" s="329"/>
      <c r="BW111" s="329"/>
      <c r="BX111" s="329"/>
      <c r="BY111" s="329"/>
      <c r="BZ111" s="329"/>
      <c r="CA111" s="329"/>
      <c r="CB111" s="329"/>
      <c r="CC111" s="329"/>
      <c r="CD111" s="329"/>
      <c r="CE111" s="329"/>
      <c r="CF111" s="329"/>
      <c r="CG111" s="329"/>
      <c r="CH111" s="329"/>
      <c r="CI111" s="329"/>
      <c r="CJ111" s="329"/>
      <c r="CK111" s="329"/>
      <c r="CL111" s="329"/>
      <c r="CM111" s="329"/>
      <c r="CN111" s="329"/>
      <c r="CO111" s="329"/>
      <c r="CP111" s="329"/>
      <c r="CQ111" s="329"/>
      <c r="CR111" s="329"/>
      <c r="CS111" s="329"/>
      <c r="CT111" s="329"/>
      <c r="CU111" s="329"/>
      <c r="CV111" s="329"/>
      <c r="CW111" s="329"/>
      <c r="CX111" s="329"/>
      <c r="CY111" s="329"/>
      <c r="CZ111" s="329"/>
      <c r="DA111" s="329"/>
      <c r="DB111" s="329"/>
      <c r="DC111" s="329"/>
      <c r="DD111" s="329"/>
      <c r="DE111" s="329"/>
      <c r="DF111" s="329"/>
      <c r="DG111" s="329"/>
      <c r="DH111" s="329"/>
      <c r="DI111" s="329"/>
      <c r="DJ111" s="329"/>
      <c r="DK111" s="329"/>
      <c r="DL111" s="329"/>
      <c r="DM111" s="329"/>
      <c r="DN111" s="329"/>
      <c r="DO111" s="329"/>
      <c r="DP111" s="329"/>
      <c r="DQ111" s="329"/>
      <c r="DR111" s="329"/>
      <c r="DS111" s="329"/>
      <c r="DT111" s="329"/>
      <c r="DU111" s="329"/>
      <c r="DV111" s="329"/>
      <c r="DW111" s="324"/>
      <c r="DX111" s="324"/>
      <c r="DY111" s="324"/>
      <c r="DZ111" s="324"/>
      <c r="EA111" s="328"/>
    </row>
    <row r="112" spans="1:132" ht="46.5" customHeight="1" x14ac:dyDescent="0.2">
      <c r="A112" s="328"/>
      <c r="B112" s="329"/>
      <c r="C112" s="329"/>
      <c r="D112" s="329"/>
      <c r="E112" s="329"/>
      <c r="F112" s="329"/>
      <c r="G112" s="329"/>
      <c r="H112" s="329"/>
      <c r="I112" s="329"/>
      <c r="J112" s="329"/>
      <c r="K112" s="329"/>
      <c r="L112" s="329"/>
      <c r="M112" s="329"/>
      <c r="N112" s="329"/>
      <c r="O112" s="329"/>
      <c r="P112" s="329"/>
      <c r="Q112" s="329"/>
      <c r="R112" s="329"/>
      <c r="S112" s="329"/>
      <c r="T112" s="329"/>
      <c r="U112" s="329"/>
      <c r="V112" s="329"/>
      <c r="W112" s="329"/>
      <c r="X112" s="329"/>
      <c r="Y112" s="329"/>
      <c r="Z112" s="329"/>
      <c r="AA112" s="329"/>
      <c r="AB112" s="329"/>
      <c r="AC112" s="329"/>
      <c r="AD112" s="329"/>
      <c r="AE112" s="329"/>
      <c r="AF112" s="329"/>
      <c r="AG112" s="329"/>
      <c r="AH112" s="329"/>
      <c r="AI112" s="329"/>
      <c r="AJ112" s="329"/>
      <c r="AK112" s="329"/>
      <c r="AL112" s="329"/>
      <c r="AM112" s="329"/>
      <c r="AN112" s="329"/>
      <c r="AO112" s="329"/>
      <c r="AP112" s="329"/>
      <c r="AQ112" s="329"/>
      <c r="AR112" s="329"/>
      <c r="AS112" s="329"/>
      <c r="AT112" s="329"/>
      <c r="AU112" s="332"/>
      <c r="AV112" s="332"/>
      <c r="AW112" s="329"/>
      <c r="AX112" s="332"/>
      <c r="AY112" s="332"/>
      <c r="AZ112" s="332"/>
      <c r="BA112" s="329"/>
      <c r="BB112" s="329"/>
      <c r="BC112" s="329"/>
      <c r="BD112" s="329"/>
      <c r="BE112" s="329"/>
      <c r="BF112" s="329"/>
      <c r="BG112" s="329"/>
      <c r="BH112" s="329"/>
      <c r="BI112" s="329"/>
      <c r="BJ112" s="329"/>
      <c r="BK112" s="329"/>
      <c r="BL112" s="329"/>
      <c r="BM112" s="329"/>
      <c r="BN112" s="329"/>
      <c r="BO112" s="329"/>
      <c r="BP112" s="329"/>
      <c r="BQ112" s="329"/>
      <c r="BR112" s="329"/>
      <c r="BS112" s="329"/>
      <c r="BT112" s="329"/>
      <c r="BU112" s="329"/>
      <c r="BV112" s="329"/>
      <c r="BW112" s="329"/>
      <c r="BX112" s="329"/>
      <c r="BY112" s="329"/>
      <c r="BZ112" s="329"/>
      <c r="CA112" s="329"/>
      <c r="CB112" s="329"/>
      <c r="CC112" s="329"/>
      <c r="CD112" s="329"/>
      <c r="CE112" s="329"/>
      <c r="CF112" s="329"/>
      <c r="CG112" s="329"/>
      <c r="CH112" s="329"/>
      <c r="CI112" s="329"/>
      <c r="CJ112" s="329"/>
      <c r="CK112" s="329"/>
      <c r="CL112" s="329"/>
      <c r="CM112" s="329"/>
      <c r="CN112" s="329"/>
      <c r="CO112" s="329"/>
      <c r="CP112" s="329"/>
      <c r="CQ112" s="329"/>
      <c r="CR112" s="329"/>
      <c r="CS112" s="329"/>
      <c r="CT112" s="329"/>
      <c r="CU112" s="329"/>
      <c r="CV112" s="329"/>
      <c r="CW112" s="329"/>
      <c r="CX112" s="329"/>
      <c r="CY112" s="329"/>
      <c r="CZ112" s="329"/>
      <c r="DA112" s="329"/>
      <c r="DB112" s="329"/>
      <c r="DC112" s="329"/>
      <c r="DD112" s="329"/>
      <c r="DE112" s="329"/>
      <c r="DF112" s="329"/>
      <c r="DG112" s="329"/>
      <c r="DH112" s="329"/>
      <c r="DI112" s="329"/>
      <c r="DJ112" s="329"/>
      <c r="DK112" s="329"/>
      <c r="DL112" s="329"/>
      <c r="DM112" s="329"/>
      <c r="DN112" s="329"/>
      <c r="DO112" s="329"/>
      <c r="DP112" s="329"/>
      <c r="DQ112" s="329"/>
      <c r="DR112" s="329"/>
      <c r="DS112" s="329"/>
      <c r="DT112" s="329"/>
      <c r="DU112" s="329"/>
      <c r="DV112" s="329"/>
      <c r="DW112" s="324"/>
      <c r="DX112" s="329"/>
      <c r="DY112" s="329"/>
      <c r="DZ112" s="329"/>
      <c r="EA112" s="328"/>
    </row>
    <row r="113" spans="1:131" ht="46.5" customHeight="1" x14ac:dyDescent="0.2">
      <c r="A113" s="328"/>
      <c r="B113" s="329"/>
      <c r="C113" s="329"/>
      <c r="D113" s="329"/>
      <c r="E113" s="329"/>
      <c r="F113" s="329"/>
      <c r="G113" s="329"/>
      <c r="H113" s="329"/>
      <c r="I113" s="329"/>
      <c r="J113" s="329"/>
      <c r="K113" s="329"/>
      <c r="L113" s="329"/>
      <c r="M113" s="329"/>
      <c r="N113" s="329"/>
      <c r="O113" s="329"/>
      <c r="P113" s="329"/>
      <c r="Q113" s="329"/>
      <c r="R113" s="329"/>
      <c r="S113" s="329"/>
      <c r="T113" s="329"/>
      <c r="U113" s="329"/>
      <c r="V113" s="329"/>
      <c r="W113" s="329"/>
      <c r="X113" s="329"/>
      <c r="Y113" s="329"/>
      <c r="Z113" s="329"/>
      <c r="AA113" s="329"/>
      <c r="AB113" s="329"/>
      <c r="AC113" s="329"/>
      <c r="AD113" s="329"/>
      <c r="AE113" s="329"/>
      <c r="AF113" s="329"/>
      <c r="AG113" s="329"/>
      <c r="AH113" s="329"/>
      <c r="AI113" s="329"/>
      <c r="AJ113" s="329"/>
      <c r="AK113" s="329"/>
      <c r="AL113" s="329"/>
      <c r="AM113" s="329"/>
      <c r="AN113" s="329"/>
      <c r="AO113" s="329"/>
      <c r="AP113" s="329"/>
      <c r="AQ113" s="329"/>
      <c r="AR113" s="329"/>
      <c r="AS113" s="329"/>
      <c r="AT113" s="329"/>
      <c r="AU113" s="332"/>
      <c r="AV113" s="332"/>
      <c r="AW113" s="329"/>
      <c r="AX113" s="332"/>
      <c r="AY113" s="332"/>
      <c r="AZ113" s="332"/>
      <c r="BA113" s="329"/>
      <c r="BB113" s="329"/>
      <c r="BC113" s="329"/>
      <c r="BD113" s="329"/>
      <c r="BE113" s="329"/>
      <c r="BF113" s="329"/>
      <c r="BG113" s="329"/>
      <c r="BH113" s="329"/>
      <c r="BI113" s="329"/>
      <c r="BJ113" s="329"/>
      <c r="BK113" s="329"/>
      <c r="BL113" s="329"/>
      <c r="BM113" s="329"/>
      <c r="BN113" s="329"/>
      <c r="BO113" s="329"/>
      <c r="BP113" s="329"/>
      <c r="BQ113" s="329"/>
      <c r="BR113" s="329"/>
      <c r="BS113" s="329"/>
      <c r="BT113" s="329"/>
      <c r="BU113" s="329"/>
      <c r="BV113" s="329"/>
      <c r="BW113" s="329"/>
      <c r="BX113" s="329"/>
      <c r="BY113" s="329"/>
      <c r="BZ113" s="329"/>
      <c r="CA113" s="329"/>
      <c r="CB113" s="329"/>
      <c r="CC113" s="329"/>
      <c r="CD113" s="329"/>
      <c r="CE113" s="329"/>
      <c r="CF113" s="329"/>
      <c r="CG113" s="329"/>
      <c r="CH113" s="329"/>
      <c r="CI113" s="329"/>
      <c r="CJ113" s="329"/>
      <c r="CK113" s="329"/>
      <c r="CL113" s="329"/>
      <c r="CM113" s="329"/>
      <c r="CN113" s="329"/>
      <c r="CO113" s="329"/>
      <c r="CP113" s="329"/>
      <c r="CQ113" s="329"/>
      <c r="CR113" s="329"/>
      <c r="CS113" s="329"/>
      <c r="CT113" s="329"/>
      <c r="CU113" s="329"/>
      <c r="CV113" s="329"/>
      <c r="CW113" s="329"/>
      <c r="CX113" s="329"/>
      <c r="CY113" s="329"/>
      <c r="CZ113" s="329"/>
      <c r="DA113" s="329"/>
      <c r="DB113" s="329"/>
      <c r="DC113" s="329"/>
      <c r="DD113" s="329"/>
      <c r="DE113" s="329"/>
      <c r="DF113" s="329"/>
      <c r="DG113" s="329"/>
      <c r="DH113" s="329"/>
      <c r="DI113" s="329"/>
      <c r="DJ113" s="329"/>
      <c r="DK113" s="329"/>
      <c r="DL113" s="329"/>
      <c r="DM113" s="329"/>
      <c r="DN113" s="329"/>
      <c r="DO113" s="329"/>
      <c r="DP113" s="329"/>
      <c r="DQ113" s="329"/>
      <c r="DR113" s="329"/>
      <c r="DS113" s="329"/>
      <c r="DT113" s="329"/>
      <c r="DU113" s="329"/>
      <c r="DV113" s="329"/>
      <c r="DW113" s="324"/>
      <c r="DX113" s="329"/>
      <c r="DY113" s="329"/>
      <c r="DZ113" s="329"/>
      <c r="EA113" s="328"/>
    </row>
    <row r="114" spans="1:131" ht="46.5" customHeight="1" x14ac:dyDescent="0.2">
      <c r="A114" s="328"/>
      <c r="B114" s="329"/>
      <c r="C114" s="329"/>
      <c r="D114" s="329"/>
      <c r="E114" s="329"/>
      <c r="F114" s="329"/>
      <c r="G114" s="329"/>
      <c r="H114" s="329"/>
      <c r="I114" s="329"/>
      <c r="J114" s="329"/>
      <c r="K114" s="329"/>
      <c r="L114" s="329"/>
      <c r="M114" s="329"/>
      <c r="N114" s="329"/>
      <c r="O114" s="329"/>
      <c r="P114" s="329"/>
      <c r="Q114" s="329"/>
      <c r="R114" s="329"/>
      <c r="S114" s="329"/>
      <c r="T114" s="329"/>
      <c r="U114" s="329"/>
      <c r="V114" s="329"/>
      <c r="W114" s="329"/>
      <c r="X114" s="329"/>
      <c r="Y114" s="329"/>
      <c r="Z114" s="329"/>
      <c r="AA114" s="329"/>
      <c r="AB114" s="329"/>
      <c r="AC114" s="329"/>
      <c r="AD114" s="329"/>
      <c r="AE114" s="329"/>
      <c r="AF114" s="329"/>
      <c r="AG114" s="329"/>
      <c r="AH114" s="329"/>
      <c r="AI114" s="329"/>
      <c r="AJ114" s="329"/>
      <c r="AK114" s="329"/>
      <c r="AL114" s="329"/>
      <c r="AM114" s="329"/>
      <c r="AN114" s="329"/>
      <c r="AO114" s="329"/>
      <c r="AP114" s="329"/>
      <c r="AQ114" s="329"/>
      <c r="AR114" s="329"/>
      <c r="AS114" s="329"/>
      <c r="AT114" s="329"/>
      <c r="AU114" s="332"/>
      <c r="AV114" s="332"/>
      <c r="AW114" s="329"/>
      <c r="AX114" s="332"/>
      <c r="AY114" s="332"/>
      <c r="AZ114" s="332"/>
      <c r="BA114" s="329"/>
      <c r="BB114" s="329"/>
      <c r="BC114" s="329"/>
      <c r="BD114" s="329"/>
      <c r="BE114" s="329"/>
      <c r="BF114" s="329"/>
      <c r="BG114" s="329"/>
      <c r="BH114" s="329"/>
      <c r="BI114" s="329"/>
      <c r="BJ114" s="329"/>
      <c r="BK114" s="329"/>
      <c r="BL114" s="329"/>
      <c r="BM114" s="329"/>
      <c r="BN114" s="329"/>
      <c r="BO114" s="329"/>
      <c r="BP114" s="329"/>
      <c r="BQ114" s="329"/>
      <c r="BR114" s="329"/>
      <c r="BS114" s="329"/>
      <c r="BT114" s="329"/>
      <c r="BU114" s="329"/>
      <c r="BV114" s="329"/>
      <c r="BW114" s="329"/>
      <c r="BX114" s="329"/>
      <c r="BY114" s="329"/>
      <c r="BZ114" s="329"/>
      <c r="CA114" s="329"/>
      <c r="CB114" s="329"/>
      <c r="CC114" s="329"/>
      <c r="CD114" s="329"/>
      <c r="CE114" s="329"/>
      <c r="CF114" s="329"/>
      <c r="CG114" s="329"/>
      <c r="CH114" s="329"/>
      <c r="CI114" s="329"/>
      <c r="CJ114" s="329"/>
      <c r="CK114" s="329"/>
      <c r="CL114" s="329"/>
      <c r="CM114" s="329"/>
      <c r="CN114" s="329"/>
      <c r="CO114" s="329"/>
      <c r="CP114" s="329"/>
      <c r="CQ114" s="329"/>
      <c r="CR114" s="329"/>
      <c r="CS114" s="329"/>
      <c r="CT114" s="329"/>
      <c r="CU114" s="329"/>
      <c r="CV114" s="329"/>
      <c r="CW114" s="329"/>
      <c r="CX114" s="329"/>
      <c r="CY114" s="329"/>
      <c r="CZ114" s="329"/>
      <c r="DA114" s="329"/>
      <c r="DB114" s="329"/>
      <c r="DC114" s="329"/>
      <c r="DD114" s="329"/>
      <c r="DE114" s="329"/>
      <c r="DF114" s="329"/>
      <c r="DG114" s="329"/>
      <c r="DH114" s="329"/>
      <c r="DI114" s="329"/>
      <c r="DJ114" s="329"/>
      <c r="DK114" s="329"/>
      <c r="DL114" s="329"/>
      <c r="DM114" s="329"/>
      <c r="DN114" s="329"/>
      <c r="DO114" s="329"/>
      <c r="DP114" s="329"/>
      <c r="DQ114" s="329"/>
      <c r="DR114" s="329"/>
      <c r="DS114" s="329"/>
      <c r="DT114" s="329"/>
      <c r="DU114" s="329"/>
      <c r="DV114" s="329"/>
      <c r="DW114" s="329"/>
      <c r="DX114" s="329"/>
      <c r="DY114" s="329"/>
      <c r="DZ114" s="329"/>
      <c r="EA114" s="328"/>
    </row>
    <row r="115" spans="1:131" ht="46.5" customHeight="1" x14ac:dyDescent="0.2">
      <c r="A115" s="328"/>
      <c r="B115" s="329"/>
      <c r="C115" s="329"/>
      <c r="D115" s="329"/>
      <c r="E115" s="329"/>
      <c r="F115" s="329"/>
      <c r="G115" s="329"/>
      <c r="H115" s="329"/>
      <c r="I115" s="329"/>
      <c r="J115" s="329"/>
      <c r="K115" s="329"/>
      <c r="L115" s="329"/>
      <c r="M115" s="329"/>
      <c r="N115" s="329"/>
      <c r="O115" s="329"/>
      <c r="P115" s="329"/>
      <c r="Q115" s="329"/>
      <c r="R115" s="329"/>
      <c r="S115" s="329"/>
      <c r="T115" s="329"/>
      <c r="U115" s="329"/>
      <c r="V115" s="329"/>
      <c r="W115" s="329"/>
      <c r="X115" s="329"/>
      <c r="Y115" s="329"/>
      <c r="Z115" s="329"/>
      <c r="AA115" s="329"/>
      <c r="AB115" s="329"/>
      <c r="AC115" s="329"/>
      <c r="AD115" s="329"/>
      <c r="AE115" s="329"/>
      <c r="AF115" s="329"/>
      <c r="AG115" s="329"/>
      <c r="AH115" s="329"/>
      <c r="AI115" s="329"/>
      <c r="AJ115" s="329"/>
      <c r="AK115" s="329"/>
      <c r="AL115" s="329"/>
      <c r="AM115" s="329"/>
      <c r="AN115" s="329"/>
      <c r="AO115" s="329"/>
      <c r="AP115" s="329"/>
      <c r="AQ115" s="329"/>
      <c r="AR115" s="329"/>
      <c r="AS115" s="329"/>
      <c r="AT115" s="329"/>
      <c r="AU115" s="332"/>
      <c r="AV115" s="332"/>
      <c r="AW115" s="329"/>
      <c r="AX115" s="332"/>
      <c r="AY115" s="332"/>
      <c r="AZ115" s="332"/>
      <c r="BA115" s="329"/>
      <c r="BB115" s="329"/>
      <c r="BC115" s="329"/>
      <c r="BD115" s="329"/>
      <c r="BE115" s="329"/>
      <c r="BF115" s="329"/>
      <c r="BG115" s="329"/>
      <c r="BH115" s="329"/>
      <c r="BI115" s="329"/>
      <c r="BJ115" s="329"/>
      <c r="BK115" s="329"/>
      <c r="BL115" s="329"/>
      <c r="BM115" s="329"/>
      <c r="BN115" s="329"/>
      <c r="BO115" s="329"/>
      <c r="BP115" s="329"/>
      <c r="BQ115" s="329"/>
      <c r="BR115" s="329"/>
      <c r="BS115" s="329"/>
      <c r="BT115" s="329"/>
      <c r="BU115" s="329"/>
      <c r="BV115" s="329"/>
      <c r="BW115" s="329"/>
      <c r="BX115" s="329"/>
      <c r="BY115" s="329"/>
      <c r="BZ115" s="329"/>
      <c r="CA115" s="329"/>
      <c r="CB115" s="329"/>
      <c r="CC115" s="329"/>
      <c r="CD115" s="329"/>
      <c r="CE115" s="329"/>
      <c r="CF115" s="329"/>
      <c r="CG115" s="329"/>
      <c r="CH115" s="329"/>
      <c r="CI115" s="329"/>
      <c r="CJ115" s="329"/>
      <c r="CK115" s="329"/>
      <c r="CL115" s="329"/>
      <c r="CM115" s="329"/>
      <c r="CN115" s="329"/>
      <c r="CO115" s="329"/>
      <c r="CP115" s="329"/>
      <c r="CQ115" s="329"/>
      <c r="CR115" s="329"/>
      <c r="CS115" s="329"/>
      <c r="CT115" s="329"/>
      <c r="CU115" s="329"/>
      <c r="CV115" s="329"/>
      <c r="CW115" s="329"/>
      <c r="CX115" s="329"/>
      <c r="CY115" s="329"/>
      <c r="CZ115" s="329"/>
      <c r="DA115" s="329"/>
      <c r="DB115" s="329"/>
      <c r="DC115" s="329"/>
      <c r="DD115" s="329"/>
      <c r="DE115" s="329"/>
      <c r="DF115" s="329"/>
      <c r="DG115" s="329"/>
      <c r="DH115" s="329"/>
      <c r="DI115" s="329"/>
      <c r="DJ115" s="329"/>
      <c r="DK115" s="329"/>
      <c r="DL115" s="329"/>
      <c r="DM115" s="329"/>
      <c r="DN115" s="329"/>
      <c r="DO115" s="329"/>
      <c r="DP115" s="329"/>
      <c r="DQ115" s="329"/>
      <c r="DR115" s="329"/>
      <c r="DS115" s="329"/>
      <c r="DT115" s="329"/>
      <c r="DU115" s="329"/>
      <c r="DV115" s="329"/>
      <c r="DW115" s="329"/>
      <c r="DX115" s="329"/>
      <c r="DY115" s="329"/>
      <c r="DZ115" s="329"/>
      <c r="EA115" s="328"/>
    </row>
  </sheetData>
  <mergeCells count="50">
    <mergeCell ref="B95:B98"/>
    <mergeCell ref="B100:B102"/>
    <mergeCell ref="B58:B62"/>
    <mergeCell ref="B64:B65"/>
    <mergeCell ref="B69:B70"/>
    <mergeCell ref="B72:B74"/>
    <mergeCell ref="B76:B82"/>
    <mergeCell ref="B84:B93"/>
    <mergeCell ref="B15:B16"/>
    <mergeCell ref="B18:B21"/>
    <mergeCell ref="B25:B38"/>
    <mergeCell ref="B43:B46"/>
    <mergeCell ref="B48:B50"/>
    <mergeCell ref="B54:B56"/>
    <mergeCell ref="DO1:DR1"/>
    <mergeCell ref="DS1:DV1"/>
    <mergeCell ref="DW1:DZ1"/>
    <mergeCell ref="EA1:EA2"/>
    <mergeCell ref="B6:B8"/>
    <mergeCell ref="B10:B12"/>
    <mergeCell ref="CQ1:CT1"/>
    <mergeCell ref="CU1:CX1"/>
    <mergeCell ref="CY1:DB1"/>
    <mergeCell ref="DC1:DF1"/>
    <mergeCell ref="DG1:DJ1"/>
    <mergeCell ref="DK1:DN1"/>
    <mergeCell ref="BS1:BV1"/>
    <mergeCell ref="BW1:BZ1"/>
    <mergeCell ref="CA1:CD1"/>
    <mergeCell ref="CE1:CH1"/>
    <mergeCell ref="CI1:CL1"/>
    <mergeCell ref="CM1:CP1"/>
    <mergeCell ref="AU1:AX1"/>
    <mergeCell ref="AY1:BB1"/>
    <mergeCell ref="BC1:BF1"/>
    <mergeCell ref="BG1:BJ1"/>
    <mergeCell ref="BK1:BN1"/>
    <mergeCell ref="BO1:BR1"/>
    <mergeCell ref="W1:Z1"/>
    <mergeCell ref="AA1:AD1"/>
    <mergeCell ref="AE1:AH1"/>
    <mergeCell ref="AI1:AL1"/>
    <mergeCell ref="AM1:AP1"/>
    <mergeCell ref="AQ1:AT1"/>
    <mergeCell ref="A1:A2"/>
    <mergeCell ref="C1:F1"/>
    <mergeCell ref="G1:J1"/>
    <mergeCell ref="K1:N1"/>
    <mergeCell ref="O1:R1"/>
    <mergeCell ref="S1:V1"/>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382E4-7DB6-4429-A179-20A7C406DF25}">
  <dimension ref="A1:BL115"/>
  <sheetViews>
    <sheetView zoomScale="85" zoomScaleNormal="85" workbookViewId="0">
      <pane xSplit="1" ySplit="2" topLeftCell="AY96" activePane="bottomRight" state="frozen"/>
      <selection pane="topRight" activeCell="R7" sqref="R7"/>
      <selection pane="bottomLeft" activeCell="R7" sqref="R7"/>
      <selection pane="bottomRight" activeCell="BJ6" sqref="BJ6"/>
    </sheetView>
  </sheetViews>
  <sheetFormatPr baseColWidth="10" defaultColWidth="18" defaultRowHeight="46.5" customHeight="1" x14ac:dyDescent="0.2"/>
  <cols>
    <col min="1" max="1" width="31.5" style="288" customWidth="1"/>
    <col min="2" max="2" width="23.375" style="288" customWidth="1"/>
    <col min="3" max="14" width="18" style="288" customWidth="1"/>
    <col min="15" max="16" width="18" style="368" customWidth="1"/>
    <col min="17" max="17" width="18" style="288" customWidth="1"/>
    <col min="18" max="20" width="18" style="368" customWidth="1"/>
    <col min="21" max="62" width="18" style="288" customWidth="1"/>
    <col min="63" max="63" width="31.875" style="288" customWidth="1"/>
    <col min="64" max="64" width="0" style="288" hidden="1" customWidth="1"/>
    <col min="65" max="16384" width="18" style="288"/>
  </cols>
  <sheetData>
    <row r="1" spans="1:64" s="275" customFormat="1" ht="28.5" customHeight="1" x14ac:dyDescent="0.2">
      <c r="A1" s="268" t="s">
        <v>1942</v>
      </c>
      <c r="B1" s="337" t="s">
        <v>1943</v>
      </c>
      <c r="C1" s="338" t="s">
        <v>2081</v>
      </c>
      <c r="D1" s="338"/>
      <c r="E1" s="338"/>
      <c r="F1" s="338"/>
      <c r="G1" s="338" t="s">
        <v>2082</v>
      </c>
      <c r="H1" s="338"/>
      <c r="I1" s="338"/>
      <c r="J1" s="338"/>
      <c r="K1" s="338" t="s">
        <v>2083</v>
      </c>
      <c r="L1" s="338"/>
      <c r="M1" s="338"/>
      <c r="N1" s="338"/>
      <c r="O1" s="338" t="s">
        <v>1955</v>
      </c>
      <c r="P1" s="338"/>
      <c r="Q1" s="338"/>
      <c r="R1" s="338"/>
      <c r="S1" s="338" t="s">
        <v>2084</v>
      </c>
      <c r="T1" s="338"/>
      <c r="U1" s="338"/>
      <c r="V1" s="338"/>
      <c r="W1" s="338" t="s">
        <v>2085</v>
      </c>
      <c r="X1" s="338"/>
      <c r="Y1" s="338"/>
      <c r="Z1" s="338"/>
      <c r="AA1" s="338" t="s">
        <v>2086</v>
      </c>
      <c r="AB1" s="338"/>
      <c r="AC1" s="338"/>
      <c r="AD1" s="338"/>
      <c r="AE1" s="338" t="s">
        <v>1959</v>
      </c>
      <c r="AF1" s="338"/>
      <c r="AG1" s="338"/>
      <c r="AH1" s="338"/>
      <c r="AI1" s="338" t="s">
        <v>2087</v>
      </c>
      <c r="AJ1" s="338"/>
      <c r="AK1" s="338"/>
      <c r="AL1" s="338"/>
      <c r="AM1" s="338" t="s">
        <v>2088</v>
      </c>
      <c r="AN1" s="338"/>
      <c r="AO1" s="338"/>
      <c r="AP1" s="338"/>
      <c r="AQ1" s="338" t="s">
        <v>2089</v>
      </c>
      <c r="AR1" s="338"/>
      <c r="AS1" s="338"/>
      <c r="AT1" s="338"/>
      <c r="AU1" s="338" t="s">
        <v>2090</v>
      </c>
      <c r="AV1" s="338"/>
      <c r="AW1" s="338"/>
      <c r="AX1" s="338"/>
      <c r="AY1" s="338" t="s">
        <v>1965</v>
      </c>
      <c r="AZ1" s="338"/>
      <c r="BA1" s="338"/>
      <c r="BB1" s="338"/>
      <c r="BC1" s="338" t="s">
        <v>2091</v>
      </c>
      <c r="BD1" s="338"/>
      <c r="BE1" s="338"/>
      <c r="BF1" s="338"/>
      <c r="BG1" s="338" t="s">
        <v>1975</v>
      </c>
      <c r="BH1" s="338"/>
      <c r="BI1" s="338"/>
      <c r="BJ1" s="338"/>
      <c r="BK1" s="274" t="s">
        <v>1976</v>
      </c>
    </row>
    <row r="2" spans="1:64" s="275" customFormat="1" ht="24" customHeight="1" x14ac:dyDescent="0.2">
      <c r="A2" s="276"/>
      <c r="B2" s="339">
        <v>2024</v>
      </c>
      <c r="C2" s="340" t="s">
        <v>1977</v>
      </c>
      <c r="D2" s="340" t="s">
        <v>1978</v>
      </c>
      <c r="E2" s="340" t="s">
        <v>1979</v>
      </c>
      <c r="F2" s="340" t="s">
        <v>1980</v>
      </c>
      <c r="G2" s="340" t="s">
        <v>1977</v>
      </c>
      <c r="H2" s="340" t="s">
        <v>1978</v>
      </c>
      <c r="I2" s="340" t="s">
        <v>1979</v>
      </c>
      <c r="J2" s="340" t="s">
        <v>1980</v>
      </c>
      <c r="K2" s="340" t="s">
        <v>1977</v>
      </c>
      <c r="L2" s="340" t="s">
        <v>1978</v>
      </c>
      <c r="M2" s="340" t="s">
        <v>1979</v>
      </c>
      <c r="N2" s="340" t="s">
        <v>1980</v>
      </c>
      <c r="O2" s="340" t="s">
        <v>1977</v>
      </c>
      <c r="P2" s="340" t="s">
        <v>1978</v>
      </c>
      <c r="Q2" s="340" t="s">
        <v>1979</v>
      </c>
      <c r="R2" s="340" t="s">
        <v>1980</v>
      </c>
      <c r="S2" s="340" t="s">
        <v>1977</v>
      </c>
      <c r="T2" s="340" t="s">
        <v>1978</v>
      </c>
      <c r="U2" s="340" t="s">
        <v>1979</v>
      </c>
      <c r="V2" s="340" t="s">
        <v>1980</v>
      </c>
      <c r="W2" s="340" t="s">
        <v>1977</v>
      </c>
      <c r="X2" s="340" t="s">
        <v>1978</v>
      </c>
      <c r="Y2" s="340" t="s">
        <v>1979</v>
      </c>
      <c r="Z2" s="340" t="s">
        <v>1980</v>
      </c>
      <c r="AA2" s="340" t="s">
        <v>1977</v>
      </c>
      <c r="AB2" s="340" t="s">
        <v>1978</v>
      </c>
      <c r="AC2" s="340" t="s">
        <v>1979</v>
      </c>
      <c r="AD2" s="340" t="s">
        <v>1980</v>
      </c>
      <c r="AE2" s="340" t="s">
        <v>1977</v>
      </c>
      <c r="AF2" s="340" t="s">
        <v>1978</v>
      </c>
      <c r="AG2" s="340" t="s">
        <v>1979</v>
      </c>
      <c r="AH2" s="340" t="s">
        <v>1980</v>
      </c>
      <c r="AI2" s="340" t="s">
        <v>1977</v>
      </c>
      <c r="AJ2" s="340" t="s">
        <v>1978</v>
      </c>
      <c r="AK2" s="340" t="s">
        <v>1979</v>
      </c>
      <c r="AL2" s="340" t="s">
        <v>1980</v>
      </c>
      <c r="AM2" s="340" t="s">
        <v>1977</v>
      </c>
      <c r="AN2" s="340" t="s">
        <v>1978</v>
      </c>
      <c r="AO2" s="340" t="s">
        <v>1979</v>
      </c>
      <c r="AP2" s="340" t="s">
        <v>1980</v>
      </c>
      <c r="AQ2" s="340" t="s">
        <v>1977</v>
      </c>
      <c r="AR2" s="340" t="s">
        <v>1978</v>
      </c>
      <c r="AS2" s="340" t="s">
        <v>1979</v>
      </c>
      <c r="AT2" s="340" t="s">
        <v>1980</v>
      </c>
      <c r="AU2" s="340" t="s">
        <v>1977</v>
      </c>
      <c r="AV2" s="340" t="s">
        <v>1978</v>
      </c>
      <c r="AW2" s="340" t="s">
        <v>1979</v>
      </c>
      <c r="AX2" s="340" t="s">
        <v>1980</v>
      </c>
      <c r="AY2" s="340" t="s">
        <v>1977</v>
      </c>
      <c r="AZ2" s="340" t="s">
        <v>1978</v>
      </c>
      <c r="BA2" s="340" t="s">
        <v>1979</v>
      </c>
      <c r="BB2" s="340" t="s">
        <v>1980</v>
      </c>
      <c r="BC2" s="340" t="s">
        <v>1977</v>
      </c>
      <c r="BD2" s="340" t="s">
        <v>1978</v>
      </c>
      <c r="BE2" s="340" t="s">
        <v>1979</v>
      </c>
      <c r="BF2" s="340" t="s">
        <v>1980</v>
      </c>
      <c r="BG2" s="340" t="s">
        <v>1977</v>
      </c>
      <c r="BH2" s="340" t="s">
        <v>1978</v>
      </c>
      <c r="BI2" s="340" t="s">
        <v>1979</v>
      </c>
      <c r="BJ2" s="340" t="s">
        <v>1981</v>
      </c>
      <c r="BK2" s="279"/>
    </row>
    <row r="3" spans="1:64" s="283" customFormat="1" ht="45.75" customHeight="1" x14ac:dyDescent="0.2">
      <c r="A3" s="280" t="s">
        <v>25</v>
      </c>
      <c r="B3" s="341">
        <f t="shared" ref="B3:BF3" si="0">+B4+B13</f>
        <v>3736167890</v>
      </c>
      <c r="C3" s="341">
        <f t="shared" si="0"/>
        <v>1102652543</v>
      </c>
      <c r="D3" s="341">
        <f t="shared" si="0"/>
        <v>972144480.23000002</v>
      </c>
      <c r="E3" s="341">
        <f t="shared" si="0"/>
        <v>948700060.23000002</v>
      </c>
      <c r="F3" s="341">
        <f t="shared" si="0"/>
        <v>938644480.23000002</v>
      </c>
      <c r="G3" s="341">
        <f t="shared" si="0"/>
        <v>49566840</v>
      </c>
      <c r="H3" s="341">
        <f t="shared" si="0"/>
        <v>49302450</v>
      </c>
      <c r="I3" s="341">
        <f t="shared" si="0"/>
        <v>49302450</v>
      </c>
      <c r="J3" s="341">
        <f t="shared" si="0"/>
        <v>49302450</v>
      </c>
      <c r="K3" s="341">
        <f t="shared" si="0"/>
        <v>0</v>
      </c>
      <c r="L3" s="341">
        <f t="shared" si="0"/>
        <v>0</v>
      </c>
      <c r="M3" s="341">
        <f t="shared" si="0"/>
        <v>0</v>
      </c>
      <c r="N3" s="341">
        <f t="shared" si="0"/>
        <v>0</v>
      </c>
      <c r="O3" s="341">
        <f t="shared" si="0"/>
        <v>0</v>
      </c>
      <c r="P3" s="341">
        <f t="shared" si="0"/>
        <v>0</v>
      </c>
      <c r="Q3" s="341">
        <f t="shared" si="0"/>
        <v>0</v>
      </c>
      <c r="R3" s="341">
        <f t="shared" si="0"/>
        <v>0</v>
      </c>
      <c r="S3" s="341">
        <f t="shared" si="0"/>
        <v>0</v>
      </c>
      <c r="T3" s="341">
        <f t="shared" si="0"/>
        <v>0</v>
      </c>
      <c r="U3" s="341">
        <f t="shared" si="0"/>
        <v>0</v>
      </c>
      <c r="V3" s="341">
        <f t="shared" si="0"/>
        <v>0</v>
      </c>
      <c r="W3" s="341">
        <f t="shared" si="0"/>
        <v>2583948507</v>
      </c>
      <c r="X3" s="341">
        <f t="shared" si="0"/>
        <v>2583601769.9200001</v>
      </c>
      <c r="Y3" s="341">
        <f t="shared" si="0"/>
        <v>2583601769.9200001</v>
      </c>
      <c r="Z3" s="341">
        <f t="shared" si="0"/>
        <v>2583601769.9200001</v>
      </c>
      <c r="AA3" s="341">
        <f t="shared" si="0"/>
        <v>0</v>
      </c>
      <c r="AB3" s="341">
        <f t="shared" si="0"/>
        <v>0</v>
      </c>
      <c r="AC3" s="341">
        <f t="shared" si="0"/>
        <v>0</v>
      </c>
      <c r="AD3" s="341">
        <f t="shared" si="0"/>
        <v>0</v>
      </c>
      <c r="AE3" s="341">
        <f t="shared" si="0"/>
        <v>0</v>
      </c>
      <c r="AF3" s="341">
        <f t="shared" si="0"/>
        <v>0</v>
      </c>
      <c r="AG3" s="341">
        <f t="shared" si="0"/>
        <v>0</v>
      </c>
      <c r="AH3" s="341">
        <f t="shared" si="0"/>
        <v>0</v>
      </c>
      <c r="AI3" s="341">
        <f t="shared" si="0"/>
        <v>0</v>
      </c>
      <c r="AJ3" s="341">
        <f t="shared" si="0"/>
        <v>0</v>
      </c>
      <c r="AK3" s="341">
        <f t="shared" si="0"/>
        <v>0</v>
      </c>
      <c r="AL3" s="341">
        <f t="shared" si="0"/>
        <v>0</v>
      </c>
      <c r="AM3" s="341">
        <f t="shared" si="0"/>
        <v>0</v>
      </c>
      <c r="AN3" s="341">
        <f t="shared" si="0"/>
        <v>0</v>
      </c>
      <c r="AO3" s="341">
        <f t="shared" si="0"/>
        <v>0</v>
      </c>
      <c r="AP3" s="341">
        <f t="shared" si="0"/>
        <v>0</v>
      </c>
      <c r="AQ3" s="341">
        <f t="shared" si="0"/>
        <v>0</v>
      </c>
      <c r="AR3" s="341">
        <f t="shared" si="0"/>
        <v>0</v>
      </c>
      <c r="AS3" s="341">
        <f t="shared" si="0"/>
        <v>0</v>
      </c>
      <c r="AT3" s="341">
        <f t="shared" si="0"/>
        <v>0</v>
      </c>
      <c r="AU3" s="341">
        <f t="shared" si="0"/>
        <v>0</v>
      </c>
      <c r="AV3" s="341">
        <f t="shared" si="0"/>
        <v>0</v>
      </c>
      <c r="AW3" s="341">
        <f t="shared" si="0"/>
        <v>0</v>
      </c>
      <c r="AX3" s="341">
        <f t="shared" si="0"/>
        <v>0</v>
      </c>
      <c r="AY3" s="341">
        <f t="shared" si="0"/>
        <v>0</v>
      </c>
      <c r="AZ3" s="341">
        <f t="shared" si="0"/>
        <v>0</v>
      </c>
      <c r="BA3" s="341">
        <f t="shared" si="0"/>
        <v>0</v>
      </c>
      <c r="BB3" s="341">
        <f t="shared" si="0"/>
        <v>0</v>
      </c>
      <c r="BC3" s="341">
        <f t="shared" si="0"/>
        <v>0</v>
      </c>
      <c r="BD3" s="341">
        <f t="shared" si="0"/>
        <v>0</v>
      </c>
      <c r="BE3" s="341">
        <f t="shared" si="0"/>
        <v>0</v>
      </c>
      <c r="BF3" s="341">
        <f t="shared" si="0"/>
        <v>0</v>
      </c>
      <c r="BG3" s="341">
        <f>+C3+G3+K3+O3+S3+W3+AA3+AE3+AI3+AM3+AQ3+AU3+AY3+BC3</f>
        <v>3736167890</v>
      </c>
      <c r="BH3" s="341">
        <f t="shared" ref="BH3:BJ4" si="1">+D3+H3+L3+P3+T3+X3+AB3+AF3+AJ3+AN3+AR3+AV3+AZ3+BD3</f>
        <v>3605048700.1500001</v>
      </c>
      <c r="BI3" s="341">
        <f t="shared" si="1"/>
        <v>3581604280.1500001</v>
      </c>
      <c r="BJ3" s="341">
        <f t="shared" si="1"/>
        <v>3571548700.1500001</v>
      </c>
      <c r="BK3" s="282"/>
    </row>
    <row r="4" spans="1:64" ht="45.75" customHeight="1" x14ac:dyDescent="0.2">
      <c r="A4" s="284" t="s">
        <v>1982</v>
      </c>
      <c r="B4" s="342">
        <f>+B5+B9</f>
        <v>978592603</v>
      </c>
      <c r="C4" s="342">
        <f t="shared" ref="C4:BF4" si="2">+C5+C9</f>
        <v>929025763</v>
      </c>
      <c r="D4" s="342">
        <f t="shared" si="2"/>
        <v>807792966.23000002</v>
      </c>
      <c r="E4" s="342">
        <f t="shared" si="2"/>
        <v>784348546.23000002</v>
      </c>
      <c r="F4" s="342">
        <f t="shared" si="2"/>
        <v>774292966.23000002</v>
      </c>
      <c r="G4" s="342">
        <f t="shared" si="2"/>
        <v>49566840</v>
      </c>
      <c r="H4" s="342">
        <f t="shared" si="2"/>
        <v>49302450</v>
      </c>
      <c r="I4" s="342">
        <f t="shared" si="2"/>
        <v>49302450</v>
      </c>
      <c r="J4" s="342">
        <f t="shared" si="2"/>
        <v>49302450</v>
      </c>
      <c r="K4" s="342">
        <f t="shared" si="2"/>
        <v>0</v>
      </c>
      <c r="L4" s="342">
        <f t="shared" si="2"/>
        <v>0</v>
      </c>
      <c r="M4" s="342">
        <f t="shared" si="2"/>
        <v>0</v>
      </c>
      <c r="N4" s="342">
        <f t="shared" si="2"/>
        <v>0</v>
      </c>
      <c r="O4" s="342">
        <f t="shared" si="2"/>
        <v>0</v>
      </c>
      <c r="P4" s="342">
        <f t="shared" si="2"/>
        <v>0</v>
      </c>
      <c r="Q4" s="342">
        <f t="shared" si="2"/>
        <v>0</v>
      </c>
      <c r="R4" s="342">
        <f t="shared" si="2"/>
        <v>0</v>
      </c>
      <c r="S4" s="342">
        <f t="shared" si="2"/>
        <v>0</v>
      </c>
      <c r="T4" s="342">
        <f t="shared" si="2"/>
        <v>0</v>
      </c>
      <c r="U4" s="342">
        <f t="shared" si="2"/>
        <v>0</v>
      </c>
      <c r="V4" s="342">
        <f t="shared" si="2"/>
        <v>0</v>
      </c>
      <c r="W4" s="342">
        <f t="shared" si="2"/>
        <v>0</v>
      </c>
      <c r="X4" s="342">
        <f t="shared" si="2"/>
        <v>0</v>
      </c>
      <c r="Y4" s="342">
        <f t="shared" si="2"/>
        <v>0</v>
      </c>
      <c r="Z4" s="342">
        <f t="shared" si="2"/>
        <v>0</v>
      </c>
      <c r="AA4" s="342">
        <f t="shared" si="2"/>
        <v>0</v>
      </c>
      <c r="AB4" s="342">
        <f t="shared" si="2"/>
        <v>0</v>
      </c>
      <c r="AC4" s="342">
        <f t="shared" si="2"/>
        <v>0</v>
      </c>
      <c r="AD4" s="342">
        <f t="shared" si="2"/>
        <v>0</v>
      </c>
      <c r="AE4" s="342">
        <f t="shared" si="2"/>
        <v>0</v>
      </c>
      <c r="AF4" s="342">
        <f t="shared" si="2"/>
        <v>0</v>
      </c>
      <c r="AG4" s="342">
        <f t="shared" si="2"/>
        <v>0</v>
      </c>
      <c r="AH4" s="342">
        <f t="shared" si="2"/>
        <v>0</v>
      </c>
      <c r="AI4" s="342">
        <f t="shared" si="2"/>
        <v>0</v>
      </c>
      <c r="AJ4" s="342">
        <f t="shared" si="2"/>
        <v>0</v>
      </c>
      <c r="AK4" s="342">
        <f t="shared" si="2"/>
        <v>0</v>
      </c>
      <c r="AL4" s="342">
        <f t="shared" si="2"/>
        <v>0</v>
      </c>
      <c r="AM4" s="342">
        <f t="shared" si="2"/>
        <v>0</v>
      </c>
      <c r="AN4" s="342">
        <f t="shared" si="2"/>
        <v>0</v>
      </c>
      <c r="AO4" s="342">
        <f t="shared" si="2"/>
        <v>0</v>
      </c>
      <c r="AP4" s="342">
        <f t="shared" si="2"/>
        <v>0</v>
      </c>
      <c r="AQ4" s="342">
        <f t="shared" si="2"/>
        <v>0</v>
      </c>
      <c r="AR4" s="342">
        <f t="shared" si="2"/>
        <v>0</v>
      </c>
      <c r="AS4" s="342">
        <f t="shared" si="2"/>
        <v>0</v>
      </c>
      <c r="AT4" s="342">
        <f t="shared" si="2"/>
        <v>0</v>
      </c>
      <c r="AU4" s="342">
        <f t="shared" si="2"/>
        <v>0</v>
      </c>
      <c r="AV4" s="342">
        <f t="shared" si="2"/>
        <v>0</v>
      </c>
      <c r="AW4" s="342">
        <f t="shared" si="2"/>
        <v>0</v>
      </c>
      <c r="AX4" s="342">
        <f t="shared" si="2"/>
        <v>0</v>
      </c>
      <c r="AY4" s="342">
        <f t="shared" si="2"/>
        <v>0</v>
      </c>
      <c r="AZ4" s="342">
        <f t="shared" si="2"/>
        <v>0</v>
      </c>
      <c r="BA4" s="342">
        <f t="shared" si="2"/>
        <v>0</v>
      </c>
      <c r="BB4" s="342">
        <f t="shared" si="2"/>
        <v>0</v>
      </c>
      <c r="BC4" s="342">
        <f t="shared" si="2"/>
        <v>0</v>
      </c>
      <c r="BD4" s="342">
        <f t="shared" si="2"/>
        <v>0</v>
      </c>
      <c r="BE4" s="342">
        <f t="shared" si="2"/>
        <v>0</v>
      </c>
      <c r="BF4" s="342">
        <f t="shared" si="2"/>
        <v>0</v>
      </c>
      <c r="BG4" s="342">
        <f>+C4+G4+K4+O4+S4+W4+AA4+AE4+AI4+AM4+AQ4+AU4+AY4+BC4</f>
        <v>978592603</v>
      </c>
      <c r="BH4" s="342">
        <f t="shared" si="1"/>
        <v>857095416.23000002</v>
      </c>
      <c r="BI4" s="342">
        <f t="shared" si="1"/>
        <v>833650996.23000002</v>
      </c>
      <c r="BJ4" s="342">
        <f t="shared" si="1"/>
        <v>823595416.23000002</v>
      </c>
      <c r="BK4" s="287"/>
    </row>
    <row r="5" spans="1:64" ht="45.75" customHeight="1" x14ac:dyDescent="0.2">
      <c r="A5" s="289" t="s">
        <v>1983</v>
      </c>
      <c r="B5" s="343">
        <f>+SUM(B6:B8)</f>
        <v>524614120</v>
      </c>
      <c r="C5" s="343">
        <f t="shared" ref="C5:J5" si="3">+SUM(C6:C8)</f>
        <v>475047280</v>
      </c>
      <c r="D5" s="343">
        <f t="shared" si="3"/>
        <v>433528476.91000003</v>
      </c>
      <c r="E5" s="343">
        <f t="shared" si="3"/>
        <v>428584056.91000003</v>
      </c>
      <c r="F5" s="343">
        <f t="shared" si="3"/>
        <v>418528476.91000003</v>
      </c>
      <c r="G5" s="343">
        <f t="shared" si="3"/>
        <v>49566840</v>
      </c>
      <c r="H5" s="343">
        <f t="shared" si="3"/>
        <v>49302450</v>
      </c>
      <c r="I5" s="343">
        <f t="shared" si="3"/>
        <v>49302450</v>
      </c>
      <c r="J5" s="343">
        <f t="shared" si="3"/>
        <v>49302450</v>
      </c>
      <c r="K5" s="343">
        <f t="shared" ref="K5:BF5" si="4">SUM(K6:K8)</f>
        <v>0</v>
      </c>
      <c r="L5" s="343">
        <f t="shared" si="4"/>
        <v>0</v>
      </c>
      <c r="M5" s="343">
        <f t="shared" si="4"/>
        <v>0</v>
      </c>
      <c r="N5" s="343">
        <f t="shared" si="4"/>
        <v>0</v>
      </c>
      <c r="O5" s="343">
        <f t="shared" si="4"/>
        <v>0</v>
      </c>
      <c r="P5" s="343">
        <f t="shared" si="4"/>
        <v>0</v>
      </c>
      <c r="Q5" s="343">
        <f t="shared" si="4"/>
        <v>0</v>
      </c>
      <c r="R5" s="343">
        <f t="shared" si="4"/>
        <v>0</v>
      </c>
      <c r="S5" s="343">
        <f t="shared" si="4"/>
        <v>0</v>
      </c>
      <c r="T5" s="343">
        <f t="shared" si="4"/>
        <v>0</v>
      </c>
      <c r="U5" s="343">
        <f t="shared" si="4"/>
        <v>0</v>
      </c>
      <c r="V5" s="343">
        <f t="shared" si="4"/>
        <v>0</v>
      </c>
      <c r="W5" s="343">
        <f t="shared" si="4"/>
        <v>0</v>
      </c>
      <c r="X5" s="343">
        <f t="shared" si="4"/>
        <v>0</v>
      </c>
      <c r="Y5" s="343">
        <f t="shared" si="4"/>
        <v>0</v>
      </c>
      <c r="Z5" s="343">
        <f t="shared" si="4"/>
        <v>0</v>
      </c>
      <c r="AA5" s="343">
        <f t="shared" si="4"/>
        <v>0</v>
      </c>
      <c r="AB5" s="343">
        <f t="shared" si="4"/>
        <v>0</v>
      </c>
      <c r="AC5" s="343">
        <f t="shared" si="4"/>
        <v>0</v>
      </c>
      <c r="AD5" s="343">
        <f t="shared" si="4"/>
        <v>0</v>
      </c>
      <c r="AE5" s="343">
        <f t="shared" si="4"/>
        <v>0</v>
      </c>
      <c r="AF5" s="343">
        <f t="shared" si="4"/>
        <v>0</v>
      </c>
      <c r="AG5" s="343">
        <f t="shared" si="4"/>
        <v>0</v>
      </c>
      <c r="AH5" s="343">
        <f t="shared" si="4"/>
        <v>0</v>
      </c>
      <c r="AI5" s="343">
        <f t="shared" si="4"/>
        <v>0</v>
      </c>
      <c r="AJ5" s="343">
        <f t="shared" si="4"/>
        <v>0</v>
      </c>
      <c r="AK5" s="343">
        <f t="shared" si="4"/>
        <v>0</v>
      </c>
      <c r="AL5" s="343">
        <f t="shared" si="4"/>
        <v>0</v>
      </c>
      <c r="AM5" s="343">
        <f t="shared" si="4"/>
        <v>0</v>
      </c>
      <c r="AN5" s="343">
        <f t="shared" si="4"/>
        <v>0</v>
      </c>
      <c r="AO5" s="343">
        <f t="shared" si="4"/>
        <v>0</v>
      </c>
      <c r="AP5" s="343">
        <f t="shared" si="4"/>
        <v>0</v>
      </c>
      <c r="AQ5" s="343">
        <f t="shared" si="4"/>
        <v>0</v>
      </c>
      <c r="AR5" s="343">
        <f t="shared" si="4"/>
        <v>0</v>
      </c>
      <c r="AS5" s="343">
        <f t="shared" si="4"/>
        <v>0</v>
      </c>
      <c r="AT5" s="343">
        <f t="shared" si="4"/>
        <v>0</v>
      </c>
      <c r="AU5" s="343">
        <f t="shared" si="4"/>
        <v>0</v>
      </c>
      <c r="AV5" s="343">
        <f t="shared" si="4"/>
        <v>0</v>
      </c>
      <c r="AW5" s="343">
        <f t="shared" si="4"/>
        <v>0</v>
      </c>
      <c r="AX5" s="343">
        <f t="shared" si="4"/>
        <v>0</v>
      </c>
      <c r="AY5" s="343">
        <f t="shared" si="4"/>
        <v>0</v>
      </c>
      <c r="AZ5" s="343">
        <f t="shared" si="4"/>
        <v>0</v>
      </c>
      <c r="BA5" s="343">
        <f t="shared" si="4"/>
        <v>0</v>
      </c>
      <c r="BB5" s="343">
        <f t="shared" si="4"/>
        <v>0</v>
      </c>
      <c r="BC5" s="343">
        <f t="shared" si="4"/>
        <v>0</v>
      </c>
      <c r="BD5" s="343">
        <f t="shared" si="4"/>
        <v>0</v>
      </c>
      <c r="BE5" s="343">
        <f t="shared" si="4"/>
        <v>0</v>
      </c>
      <c r="BF5" s="343">
        <f t="shared" si="4"/>
        <v>0</v>
      </c>
      <c r="BG5" s="343">
        <f>ROUND(+C5+G5+K5+O5+S5+W5+AA5+AE5+AI5+AM5+AQ5+AU5+AY5+BC5,0)</f>
        <v>524614120</v>
      </c>
      <c r="BH5" s="343">
        <f>ROUND(+D5+H5+L5+P5+T5+X5+AB5+AF5+AJ5+AN5+AR5+AV5+AZ5+BD5,0)</f>
        <v>482830927</v>
      </c>
      <c r="BI5" s="343">
        <f>ROUND(+E5+I5+M5+Q5+U5+Y5+AC5+AG5+AK5+AO5+AS5+AW5+BA5+BE5,0)</f>
        <v>477886507</v>
      </c>
      <c r="BJ5" s="343">
        <f>ROUND(+F5+J5+N5+R5+V5+Z5+AD5+AH5+AL5+AP5+AT5+AX5+BB5+BF5,0)</f>
        <v>467830927</v>
      </c>
      <c r="BK5" s="291">
        <f>+SUM(BG6:BG8)-BG5</f>
        <v>0</v>
      </c>
      <c r="BL5" s="292">
        <f>+BG5-B5</f>
        <v>0</v>
      </c>
    </row>
    <row r="6" spans="1:64" ht="45.75" customHeight="1" x14ac:dyDescent="0.2">
      <c r="A6" s="293" t="s">
        <v>1984</v>
      </c>
      <c r="B6" s="344">
        <f>262307060*2</f>
        <v>524614120</v>
      </c>
      <c r="C6" s="345">
        <v>0</v>
      </c>
      <c r="D6" s="345">
        <v>0</v>
      </c>
      <c r="E6" s="345">
        <v>0</v>
      </c>
      <c r="F6" s="345">
        <v>0</v>
      </c>
      <c r="G6" s="345">
        <v>0</v>
      </c>
      <c r="H6" s="345">
        <v>0</v>
      </c>
      <c r="I6" s="345">
        <v>0</v>
      </c>
      <c r="J6" s="345">
        <v>0</v>
      </c>
      <c r="K6" s="345">
        <v>0</v>
      </c>
      <c r="L6" s="345">
        <v>0</v>
      </c>
      <c r="M6" s="345">
        <v>0</v>
      </c>
      <c r="N6" s="345">
        <v>0</v>
      </c>
      <c r="O6" s="345">
        <v>0</v>
      </c>
      <c r="P6" s="345">
        <v>0</v>
      </c>
      <c r="Q6" s="345">
        <v>0</v>
      </c>
      <c r="R6" s="345">
        <v>0</v>
      </c>
      <c r="S6" s="345">
        <v>0</v>
      </c>
      <c r="T6" s="345">
        <v>0</v>
      </c>
      <c r="U6" s="345">
        <v>0</v>
      </c>
      <c r="V6" s="345">
        <v>0</v>
      </c>
      <c r="W6" s="345">
        <v>0</v>
      </c>
      <c r="X6" s="345">
        <v>0</v>
      </c>
      <c r="Y6" s="345">
        <v>0</v>
      </c>
      <c r="Z6" s="345">
        <v>0</v>
      </c>
      <c r="AA6" s="345">
        <v>0</v>
      </c>
      <c r="AB6" s="345">
        <v>0</v>
      </c>
      <c r="AC6" s="345">
        <v>0</v>
      </c>
      <c r="AD6" s="345">
        <v>0</v>
      </c>
      <c r="AE6" s="345">
        <v>0</v>
      </c>
      <c r="AF6" s="345">
        <v>0</v>
      </c>
      <c r="AG6" s="345">
        <v>0</v>
      </c>
      <c r="AH6" s="345">
        <v>0</v>
      </c>
      <c r="AI6" s="345">
        <v>0</v>
      </c>
      <c r="AJ6" s="345">
        <v>0</v>
      </c>
      <c r="AK6" s="345">
        <v>0</v>
      </c>
      <c r="AL6" s="345">
        <v>0</v>
      </c>
      <c r="AM6" s="345">
        <v>0</v>
      </c>
      <c r="AN6" s="345">
        <v>0</v>
      </c>
      <c r="AO6" s="345">
        <v>0</v>
      </c>
      <c r="AP6" s="345">
        <v>0</v>
      </c>
      <c r="AQ6" s="345">
        <v>0</v>
      </c>
      <c r="AR6" s="345">
        <v>0</v>
      </c>
      <c r="AS6" s="345">
        <v>0</v>
      </c>
      <c r="AT6" s="345">
        <v>0</v>
      </c>
      <c r="AU6" s="345">
        <v>0</v>
      </c>
      <c r="AV6" s="345">
        <v>0</v>
      </c>
      <c r="AW6" s="345">
        <v>0</v>
      </c>
      <c r="AX6" s="345">
        <v>0</v>
      </c>
      <c r="AY6" s="345">
        <v>0</v>
      </c>
      <c r="AZ6" s="345">
        <v>0</v>
      </c>
      <c r="BA6" s="345">
        <v>0</v>
      </c>
      <c r="BB6" s="345">
        <v>0</v>
      </c>
      <c r="BC6" s="345">
        <v>0</v>
      </c>
      <c r="BD6" s="345">
        <v>0</v>
      </c>
      <c r="BE6" s="345">
        <v>0</v>
      </c>
      <c r="BF6" s="345">
        <v>0</v>
      </c>
      <c r="BG6" s="345">
        <f t="shared" ref="BG6:BJ69" si="5">+C6+G6+K6+O6+S6+W6+AA6+AE6+AI6+AM6+AQ6+AU6+AY6+BC6</f>
        <v>0</v>
      </c>
      <c r="BH6" s="345">
        <f t="shared" si="5"/>
        <v>0</v>
      </c>
      <c r="BI6" s="345">
        <f t="shared" si="5"/>
        <v>0</v>
      </c>
      <c r="BJ6" s="345">
        <f t="shared" si="5"/>
        <v>0</v>
      </c>
      <c r="BK6" s="287"/>
    </row>
    <row r="7" spans="1:64" ht="45.75" customHeight="1" x14ac:dyDescent="0.2">
      <c r="A7" s="297" t="s">
        <v>1985</v>
      </c>
      <c r="B7" s="346"/>
      <c r="C7" s="347">
        <v>237523640</v>
      </c>
      <c r="D7" s="347">
        <f>433528476.91/2</f>
        <v>216764238.45500001</v>
      </c>
      <c r="E7" s="347">
        <f>428584056.91/2</f>
        <v>214292028.45500001</v>
      </c>
      <c r="F7" s="347">
        <f>418528476.91/2</f>
        <v>209264238.45500001</v>
      </c>
      <c r="G7" s="347">
        <v>24783420</v>
      </c>
      <c r="H7" s="347">
        <v>24651225</v>
      </c>
      <c r="I7" s="347">
        <v>24651225</v>
      </c>
      <c r="J7" s="347">
        <v>24651225</v>
      </c>
      <c r="K7" s="348">
        <v>0</v>
      </c>
      <c r="L7" s="348">
        <v>0</v>
      </c>
      <c r="M7" s="348">
        <v>0</v>
      </c>
      <c r="N7" s="348">
        <v>0</v>
      </c>
      <c r="O7" s="348">
        <v>0</v>
      </c>
      <c r="P7" s="348">
        <v>0</v>
      </c>
      <c r="Q7" s="348">
        <v>0</v>
      </c>
      <c r="R7" s="348">
        <v>0</v>
      </c>
      <c r="S7" s="348">
        <v>0</v>
      </c>
      <c r="T7" s="348">
        <v>0</v>
      </c>
      <c r="U7" s="348">
        <v>0</v>
      </c>
      <c r="V7" s="348">
        <v>0</v>
      </c>
      <c r="W7" s="348">
        <v>0</v>
      </c>
      <c r="X7" s="348">
        <v>0</v>
      </c>
      <c r="Y7" s="348">
        <v>0</v>
      </c>
      <c r="Z7" s="348">
        <v>0</v>
      </c>
      <c r="AA7" s="348">
        <v>0</v>
      </c>
      <c r="AB7" s="348">
        <v>0</v>
      </c>
      <c r="AC7" s="348">
        <v>0</v>
      </c>
      <c r="AD7" s="348">
        <v>0</v>
      </c>
      <c r="AE7" s="348">
        <v>0</v>
      </c>
      <c r="AF7" s="348">
        <v>0</v>
      </c>
      <c r="AG7" s="348">
        <v>0</v>
      </c>
      <c r="AH7" s="348">
        <v>0</v>
      </c>
      <c r="AI7" s="348">
        <v>0</v>
      </c>
      <c r="AJ7" s="348">
        <v>0</v>
      </c>
      <c r="AK7" s="348">
        <v>0</v>
      </c>
      <c r="AL7" s="348">
        <v>0</v>
      </c>
      <c r="AM7" s="348">
        <v>0</v>
      </c>
      <c r="AN7" s="348">
        <v>0</v>
      </c>
      <c r="AO7" s="348">
        <v>0</v>
      </c>
      <c r="AP7" s="348">
        <v>0</v>
      </c>
      <c r="AQ7" s="348">
        <v>0</v>
      </c>
      <c r="AR7" s="348">
        <v>0</v>
      </c>
      <c r="AS7" s="348">
        <v>0</v>
      </c>
      <c r="AT7" s="348">
        <v>0</v>
      </c>
      <c r="AU7" s="348">
        <v>0</v>
      </c>
      <c r="AV7" s="348">
        <v>0</v>
      </c>
      <c r="AW7" s="348">
        <v>0</v>
      </c>
      <c r="AX7" s="348">
        <v>0</v>
      </c>
      <c r="AY7" s="348">
        <v>0</v>
      </c>
      <c r="AZ7" s="348">
        <v>0</v>
      </c>
      <c r="BA7" s="348">
        <v>0</v>
      </c>
      <c r="BB7" s="348">
        <v>0</v>
      </c>
      <c r="BC7" s="348">
        <v>0</v>
      </c>
      <c r="BD7" s="348">
        <v>0</v>
      </c>
      <c r="BE7" s="348">
        <v>0</v>
      </c>
      <c r="BF7" s="348">
        <v>0</v>
      </c>
      <c r="BG7" s="347">
        <f t="shared" si="5"/>
        <v>262307060</v>
      </c>
      <c r="BH7" s="347">
        <f t="shared" si="5"/>
        <v>241415463.45500001</v>
      </c>
      <c r="BI7" s="347">
        <f t="shared" si="5"/>
        <v>238943253.45500001</v>
      </c>
      <c r="BJ7" s="347">
        <f t="shared" si="5"/>
        <v>233915463.45500001</v>
      </c>
      <c r="BK7" s="287"/>
    </row>
    <row r="8" spans="1:64" ht="45.75" customHeight="1" x14ac:dyDescent="0.2">
      <c r="A8" s="297" t="s">
        <v>1986</v>
      </c>
      <c r="B8" s="349"/>
      <c r="C8" s="347">
        <v>237523640</v>
      </c>
      <c r="D8" s="347">
        <f>433528476.91/2</f>
        <v>216764238.45500001</v>
      </c>
      <c r="E8" s="347">
        <f>428584056.91/2</f>
        <v>214292028.45500001</v>
      </c>
      <c r="F8" s="347">
        <f>418528476.91/2</f>
        <v>209264238.45500001</v>
      </c>
      <c r="G8" s="347">
        <v>24783420</v>
      </c>
      <c r="H8" s="347">
        <v>24651225</v>
      </c>
      <c r="I8" s="347">
        <v>24651225</v>
      </c>
      <c r="J8" s="347">
        <v>24651225</v>
      </c>
      <c r="K8" s="348">
        <v>0</v>
      </c>
      <c r="L8" s="348">
        <v>0</v>
      </c>
      <c r="M8" s="348">
        <v>0</v>
      </c>
      <c r="N8" s="348">
        <v>0</v>
      </c>
      <c r="O8" s="348">
        <v>0</v>
      </c>
      <c r="P8" s="348">
        <v>0</v>
      </c>
      <c r="Q8" s="348">
        <v>0</v>
      </c>
      <c r="R8" s="348">
        <v>0</v>
      </c>
      <c r="S8" s="348">
        <v>0</v>
      </c>
      <c r="T8" s="348">
        <v>0</v>
      </c>
      <c r="U8" s="348">
        <v>0</v>
      </c>
      <c r="V8" s="348">
        <v>0</v>
      </c>
      <c r="W8" s="348">
        <v>0</v>
      </c>
      <c r="X8" s="348">
        <v>0</v>
      </c>
      <c r="Y8" s="348">
        <v>0</v>
      </c>
      <c r="Z8" s="348">
        <v>0</v>
      </c>
      <c r="AA8" s="348">
        <v>0</v>
      </c>
      <c r="AB8" s="348">
        <v>0</v>
      </c>
      <c r="AC8" s="348">
        <v>0</v>
      </c>
      <c r="AD8" s="348">
        <v>0</v>
      </c>
      <c r="AE8" s="348">
        <v>0</v>
      </c>
      <c r="AF8" s="348">
        <v>0</v>
      </c>
      <c r="AG8" s="348">
        <v>0</v>
      </c>
      <c r="AH8" s="348">
        <v>0</v>
      </c>
      <c r="AI8" s="348">
        <v>0</v>
      </c>
      <c r="AJ8" s="348">
        <v>0</v>
      </c>
      <c r="AK8" s="348">
        <v>0</v>
      </c>
      <c r="AL8" s="348">
        <v>0</v>
      </c>
      <c r="AM8" s="348">
        <v>0</v>
      </c>
      <c r="AN8" s="348">
        <v>0</v>
      </c>
      <c r="AO8" s="348">
        <v>0</v>
      </c>
      <c r="AP8" s="348">
        <v>0</v>
      </c>
      <c r="AQ8" s="348">
        <v>0</v>
      </c>
      <c r="AR8" s="348">
        <v>0</v>
      </c>
      <c r="AS8" s="348">
        <v>0</v>
      </c>
      <c r="AT8" s="348">
        <v>0</v>
      </c>
      <c r="AU8" s="348">
        <v>0</v>
      </c>
      <c r="AV8" s="348">
        <v>0</v>
      </c>
      <c r="AW8" s="348">
        <v>0</v>
      </c>
      <c r="AX8" s="348">
        <v>0</v>
      </c>
      <c r="AY8" s="348">
        <v>0</v>
      </c>
      <c r="AZ8" s="348">
        <v>0</v>
      </c>
      <c r="BA8" s="348">
        <v>0</v>
      </c>
      <c r="BB8" s="348">
        <v>0</v>
      </c>
      <c r="BC8" s="348">
        <v>0</v>
      </c>
      <c r="BD8" s="348">
        <v>0</v>
      </c>
      <c r="BE8" s="348">
        <v>0</v>
      </c>
      <c r="BF8" s="348">
        <v>0</v>
      </c>
      <c r="BG8" s="347">
        <f t="shared" si="5"/>
        <v>262307060</v>
      </c>
      <c r="BH8" s="347">
        <f t="shared" si="5"/>
        <v>241415463.45500001</v>
      </c>
      <c r="BI8" s="347">
        <f t="shared" si="5"/>
        <v>238943253.45500001</v>
      </c>
      <c r="BJ8" s="347">
        <f t="shared" si="5"/>
        <v>233915463.45500001</v>
      </c>
      <c r="BK8" s="302">
        <f>+SUM(BG6:BG8)-B6</f>
        <v>0</v>
      </c>
    </row>
    <row r="9" spans="1:64" ht="45.75" customHeight="1" x14ac:dyDescent="0.2">
      <c r="A9" s="303" t="s">
        <v>1987</v>
      </c>
      <c r="B9" s="350">
        <f>SUM(B10:B12)</f>
        <v>453978483</v>
      </c>
      <c r="C9" s="350">
        <f t="shared" ref="C9:BF9" si="6">SUM(C10:C12)</f>
        <v>453978483</v>
      </c>
      <c r="D9" s="350">
        <f t="shared" si="6"/>
        <v>374264489.31999999</v>
      </c>
      <c r="E9" s="350">
        <f t="shared" si="6"/>
        <v>355764489.31999999</v>
      </c>
      <c r="F9" s="350">
        <f t="shared" si="6"/>
        <v>355764489.31999999</v>
      </c>
      <c r="G9" s="350">
        <f t="shared" si="6"/>
        <v>0</v>
      </c>
      <c r="H9" s="350">
        <f t="shared" si="6"/>
        <v>0</v>
      </c>
      <c r="I9" s="350">
        <f t="shared" si="6"/>
        <v>0</v>
      </c>
      <c r="J9" s="350">
        <f t="shared" si="6"/>
        <v>0</v>
      </c>
      <c r="K9" s="350">
        <f t="shared" si="6"/>
        <v>0</v>
      </c>
      <c r="L9" s="350">
        <f t="shared" si="6"/>
        <v>0</v>
      </c>
      <c r="M9" s="350">
        <f t="shared" si="6"/>
        <v>0</v>
      </c>
      <c r="N9" s="350">
        <f t="shared" si="6"/>
        <v>0</v>
      </c>
      <c r="O9" s="350">
        <f t="shared" si="6"/>
        <v>0</v>
      </c>
      <c r="P9" s="350">
        <f t="shared" si="6"/>
        <v>0</v>
      </c>
      <c r="Q9" s="350">
        <f t="shared" si="6"/>
        <v>0</v>
      </c>
      <c r="R9" s="350">
        <f t="shared" si="6"/>
        <v>0</v>
      </c>
      <c r="S9" s="350">
        <f t="shared" si="6"/>
        <v>0</v>
      </c>
      <c r="T9" s="350">
        <f t="shared" si="6"/>
        <v>0</v>
      </c>
      <c r="U9" s="350">
        <f t="shared" si="6"/>
        <v>0</v>
      </c>
      <c r="V9" s="350">
        <f t="shared" si="6"/>
        <v>0</v>
      </c>
      <c r="W9" s="350">
        <f t="shared" si="6"/>
        <v>0</v>
      </c>
      <c r="X9" s="350">
        <f t="shared" si="6"/>
        <v>0</v>
      </c>
      <c r="Y9" s="350">
        <f t="shared" si="6"/>
        <v>0</v>
      </c>
      <c r="Z9" s="350">
        <f t="shared" si="6"/>
        <v>0</v>
      </c>
      <c r="AA9" s="350">
        <f t="shared" si="6"/>
        <v>0</v>
      </c>
      <c r="AB9" s="350">
        <f t="shared" si="6"/>
        <v>0</v>
      </c>
      <c r="AC9" s="350">
        <f t="shared" si="6"/>
        <v>0</v>
      </c>
      <c r="AD9" s="350">
        <f t="shared" si="6"/>
        <v>0</v>
      </c>
      <c r="AE9" s="350">
        <f t="shared" si="6"/>
        <v>0</v>
      </c>
      <c r="AF9" s="350">
        <f t="shared" si="6"/>
        <v>0</v>
      </c>
      <c r="AG9" s="350">
        <f t="shared" si="6"/>
        <v>0</v>
      </c>
      <c r="AH9" s="350">
        <f t="shared" si="6"/>
        <v>0</v>
      </c>
      <c r="AI9" s="350">
        <f t="shared" si="6"/>
        <v>0</v>
      </c>
      <c r="AJ9" s="350">
        <f t="shared" si="6"/>
        <v>0</v>
      </c>
      <c r="AK9" s="350">
        <f t="shared" si="6"/>
        <v>0</v>
      </c>
      <c r="AL9" s="350">
        <f t="shared" si="6"/>
        <v>0</v>
      </c>
      <c r="AM9" s="350">
        <f t="shared" si="6"/>
        <v>0</v>
      </c>
      <c r="AN9" s="350">
        <f t="shared" si="6"/>
        <v>0</v>
      </c>
      <c r="AO9" s="350">
        <f t="shared" si="6"/>
        <v>0</v>
      </c>
      <c r="AP9" s="350">
        <f t="shared" si="6"/>
        <v>0</v>
      </c>
      <c r="AQ9" s="350">
        <f t="shared" si="6"/>
        <v>0</v>
      </c>
      <c r="AR9" s="350">
        <f t="shared" si="6"/>
        <v>0</v>
      </c>
      <c r="AS9" s="350">
        <f t="shared" si="6"/>
        <v>0</v>
      </c>
      <c r="AT9" s="350">
        <f t="shared" si="6"/>
        <v>0</v>
      </c>
      <c r="AU9" s="350">
        <f t="shared" si="6"/>
        <v>0</v>
      </c>
      <c r="AV9" s="350">
        <f t="shared" si="6"/>
        <v>0</v>
      </c>
      <c r="AW9" s="350">
        <f t="shared" si="6"/>
        <v>0</v>
      </c>
      <c r="AX9" s="350">
        <f t="shared" si="6"/>
        <v>0</v>
      </c>
      <c r="AY9" s="350">
        <f t="shared" si="6"/>
        <v>0</v>
      </c>
      <c r="AZ9" s="350">
        <f t="shared" si="6"/>
        <v>0</v>
      </c>
      <c r="BA9" s="350">
        <f t="shared" si="6"/>
        <v>0</v>
      </c>
      <c r="BB9" s="350">
        <f t="shared" si="6"/>
        <v>0</v>
      </c>
      <c r="BC9" s="350">
        <f t="shared" si="6"/>
        <v>0</v>
      </c>
      <c r="BD9" s="350">
        <f t="shared" si="6"/>
        <v>0</v>
      </c>
      <c r="BE9" s="350">
        <f t="shared" si="6"/>
        <v>0</v>
      </c>
      <c r="BF9" s="350">
        <f t="shared" si="6"/>
        <v>0</v>
      </c>
      <c r="BG9" s="350">
        <f>ROUND(+C9+G9+K9+O9+S9+W9+AA9+AE9+AI9+AM9+AQ9+AU9+AY9+BC9,0)</f>
        <v>453978483</v>
      </c>
      <c r="BH9" s="350">
        <f>ROUND(+D9+H9+L9+P9+T9+X9+AB9+AF9+AJ9+AN9+AR9+AV9+AZ9+BD9,0)</f>
        <v>374264489</v>
      </c>
      <c r="BI9" s="350">
        <f>ROUND(+E9+I9+M9+Q9+U9+Y9+AC9+AG9+AK9+AO9+AS9+AW9+BA9+BE9,0)</f>
        <v>355764489</v>
      </c>
      <c r="BJ9" s="350">
        <f>ROUND(+F9+J9+N9+R9+V9+Z9+AD9+AH9+AL9+AP9+AT9+AX9+BB9+BF9,0)</f>
        <v>355764489</v>
      </c>
      <c r="BK9" s="291">
        <f>+SUM(BG10:BG12)-BG9</f>
        <v>0</v>
      </c>
      <c r="BL9" s="292">
        <f>+BG9-B9</f>
        <v>0</v>
      </c>
    </row>
    <row r="10" spans="1:64" ht="45.75" customHeight="1" x14ac:dyDescent="0.2">
      <c r="A10" s="293" t="s">
        <v>1988</v>
      </c>
      <c r="B10" s="344">
        <f>144068563+58199688+251710232</f>
        <v>453978483</v>
      </c>
      <c r="C10" s="345">
        <v>0</v>
      </c>
      <c r="D10" s="345">
        <v>0</v>
      </c>
      <c r="E10" s="345">
        <v>0</v>
      </c>
      <c r="F10" s="345">
        <v>0</v>
      </c>
      <c r="G10" s="345">
        <v>0</v>
      </c>
      <c r="H10" s="345">
        <v>0</v>
      </c>
      <c r="I10" s="345">
        <v>0</v>
      </c>
      <c r="J10" s="345">
        <v>0</v>
      </c>
      <c r="K10" s="345">
        <v>0</v>
      </c>
      <c r="L10" s="345">
        <v>0</v>
      </c>
      <c r="M10" s="345">
        <v>0</v>
      </c>
      <c r="N10" s="345">
        <v>0</v>
      </c>
      <c r="O10" s="345">
        <v>0</v>
      </c>
      <c r="P10" s="345">
        <v>0</v>
      </c>
      <c r="Q10" s="345">
        <v>0</v>
      </c>
      <c r="R10" s="345">
        <v>0</v>
      </c>
      <c r="S10" s="345">
        <v>0</v>
      </c>
      <c r="T10" s="345">
        <v>0</v>
      </c>
      <c r="U10" s="345">
        <v>0</v>
      </c>
      <c r="V10" s="345">
        <v>0</v>
      </c>
      <c r="W10" s="345">
        <v>0</v>
      </c>
      <c r="X10" s="345">
        <v>0</v>
      </c>
      <c r="Y10" s="345">
        <v>0</v>
      </c>
      <c r="Z10" s="345">
        <v>0</v>
      </c>
      <c r="AA10" s="345">
        <v>0</v>
      </c>
      <c r="AB10" s="345">
        <v>0</v>
      </c>
      <c r="AC10" s="345">
        <v>0</v>
      </c>
      <c r="AD10" s="345">
        <v>0</v>
      </c>
      <c r="AE10" s="345">
        <v>0</v>
      </c>
      <c r="AF10" s="345">
        <v>0</v>
      </c>
      <c r="AG10" s="345">
        <v>0</v>
      </c>
      <c r="AH10" s="345">
        <v>0</v>
      </c>
      <c r="AI10" s="345">
        <v>0</v>
      </c>
      <c r="AJ10" s="345">
        <v>0</v>
      </c>
      <c r="AK10" s="345">
        <v>0</v>
      </c>
      <c r="AL10" s="345">
        <v>0</v>
      </c>
      <c r="AM10" s="345">
        <v>0</v>
      </c>
      <c r="AN10" s="345">
        <v>0</v>
      </c>
      <c r="AO10" s="345">
        <v>0</v>
      </c>
      <c r="AP10" s="345">
        <v>0</v>
      </c>
      <c r="AQ10" s="345">
        <v>0</v>
      </c>
      <c r="AR10" s="345">
        <v>0</v>
      </c>
      <c r="AS10" s="345">
        <v>0</v>
      </c>
      <c r="AT10" s="345">
        <v>0</v>
      </c>
      <c r="AU10" s="345">
        <v>0</v>
      </c>
      <c r="AV10" s="345">
        <v>0</v>
      </c>
      <c r="AW10" s="345">
        <v>0</v>
      </c>
      <c r="AX10" s="345">
        <v>0</v>
      </c>
      <c r="AY10" s="345">
        <v>0</v>
      </c>
      <c r="AZ10" s="345">
        <v>0</v>
      </c>
      <c r="BA10" s="345">
        <v>0</v>
      </c>
      <c r="BB10" s="345">
        <v>0</v>
      </c>
      <c r="BC10" s="345">
        <v>0</v>
      </c>
      <c r="BD10" s="345">
        <v>0</v>
      </c>
      <c r="BE10" s="345">
        <v>0</v>
      </c>
      <c r="BF10" s="345">
        <v>0</v>
      </c>
      <c r="BG10" s="345">
        <f t="shared" si="5"/>
        <v>0</v>
      </c>
      <c r="BH10" s="345">
        <f t="shared" si="5"/>
        <v>0</v>
      </c>
      <c r="BI10" s="345">
        <f t="shared" si="5"/>
        <v>0</v>
      </c>
      <c r="BJ10" s="345">
        <f t="shared" si="5"/>
        <v>0</v>
      </c>
      <c r="BK10" s="287"/>
    </row>
    <row r="11" spans="1:64" ht="45.75" customHeight="1" x14ac:dyDescent="0.2">
      <c r="A11" s="297" t="s">
        <v>1989</v>
      </c>
      <c r="B11" s="346"/>
      <c r="C11" s="347">
        <f>144068563+58199688+251710232</f>
        <v>453978483</v>
      </c>
      <c r="D11" s="347">
        <f>144068563+58199688+171996238.32</f>
        <v>374264489.31999999</v>
      </c>
      <c r="E11" s="347">
        <f>144068563+58199688+153496238.32</f>
        <v>355764489.31999999</v>
      </c>
      <c r="F11" s="347">
        <f>144068563+58199688+153496238.32</f>
        <v>355764489.31999999</v>
      </c>
      <c r="G11" s="348">
        <v>0</v>
      </c>
      <c r="H11" s="348">
        <v>0</v>
      </c>
      <c r="I11" s="348">
        <v>0</v>
      </c>
      <c r="J11" s="348">
        <v>0</v>
      </c>
      <c r="K11" s="348">
        <v>0</v>
      </c>
      <c r="L11" s="348">
        <v>0</v>
      </c>
      <c r="M11" s="348">
        <v>0</v>
      </c>
      <c r="N11" s="348">
        <v>0</v>
      </c>
      <c r="O11" s="348">
        <v>0</v>
      </c>
      <c r="P11" s="348">
        <v>0</v>
      </c>
      <c r="Q11" s="348">
        <v>0</v>
      </c>
      <c r="R11" s="348">
        <v>0</v>
      </c>
      <c r="S11" s="348">
        <v>0</v>
      </c>
      <c r="T11" s="348">
        <v>0</v>
      </c>
      <c r="U11" s="348">
        <v>0</v>
      </c>
      <c r="V11" s="348">
        <v>0</v>
      </c>
      <c r="W11" s="348">
        <v>0</v>
      </c>
      <c r="X11" s="348">
        <v>0</v>
      </c>
      <c r="Y11" s="348">
        <v>0</v>
      </c>
      <c r="Z11" s="348">
        <v>0</v>
      </c>
      <c r="AA11" s="348">
        <v>0</v>
      </c>
      <c r="AB11" s="348">
        <v>0</v>
      </c>
      <c r="AC11" s="348">
        <v>0</v>
      </c>
      <c r="AD11" s="348">
        <v>0</v>
      </c>
      <c r="AE11" s="348">
        <v>0</v>
      </c>
      <c r="AF11" s="348">
        <v>0</v>
      </c>
      <c r="AG11" s="348">
        <v>0</v>
      </c>
      <c r="AH11" s="348">
        <v>0</v>
      </c>
      <c r="AI11" s="348">
        <v>0</v>
      </c>
      <c r="AJ11" s="348">
        <v>0</v>
      </c>
      <c r="AK11" s="348">
        <v>0</v>
      </c>
      <c r="AL11" s="348">
        <v>0</v>
      </c>
      <c r="AM11" s="348">
        <v>0</v>
      </c>
      <c r="AN11" s="348">
        <v>0</v>
      </c>
      <c r="AO11" s="348">
        <v>0</v>
      </c>
      <c r="AP11" s="348">
        <v>0</v>
      </c>
      <c r="AQ11" s="348">
        <v>0</v>
      </c>
      <c r="AR11" s="348">
        <v>0</v>
      </c>
      <c r="AS11" s="348">
        <v>0</v>
      </c>
      <c r="AT11" s="348">
        <v>0</v>
      </c>
      <c r="AU11" s="348">
        <v>0</v>
      </c>
      <c r="AV11" s="348">
        <v>0</v>
      </c>
      <c r="AW11" s="348">
        <v>0</v>
      </c>
      <c r="AX11" s="348">
        <v>0</v>
      </c>
      <c r="AY11" s="348">
        <v>0</v>
      </c>
      <c r="AZ11" s="348">
        <v>0</v>
      </c>
      <c r="BA11" s="348">
        <v>0</v>
      </c>
      <c r="BB11" s="348">
        <v>0</v>
      </c>
      <c r="BC11" s="348">
        <v>0</v>
      </c>
      <c r="BD11" s="348">
        <v>0</v>
      </c>
      <c r="BE11" s="348">
        <v>0</v>
      </c>
      <c r="BF11" s="348">
        <v>0</v>
      </c>
      <c r="BG11" s="347">
        <f t="shared" si="5"/>
        <v>453978483</v>
      </c>
      <c r="BH11" s="347">
        <f t="shared" si="5"/>
        <v>374264489.31999999</v>
      </c>
      <c r="BI11" s="347">
        <f t="shared" si="5"/>
        <v>355764489.31999999</v>
      </c>
      <c r="BJ11" s="347">
        <f t="shared" si="5"/>
        <v>355764489.31999999</v>
      </c>
      <c r="BK11" s="287"/>
    </row>
    <row r="12" spans="1:64" ht="45.75" customHeight="1" x14ac:dyDescent="0.2">
      <c r="A12" s="293" t="s">
        <v>1990</v>
      </c>
      <c r="B12" s="349"/>
      <c r="C12" s="345">
        <v>0</v>
      </c>
      <c r="D12" s="345">
        <v>0</v>
      </c>
      <c r="E12" s="345">
        <v>0</v>
      </c>
      <c r="F12" s="345">
        <v>0</v>
      </c>
      <c r="G12" s="345">
        <v>0</v>
      </c>
      <c r="H12" s="345">
        <v>0</v>
      </c>
      <c r="I12" s="345">
        <v>0</v>
      </c>
      <c r="J12" s="345">
        <v>0</v>
      </c>
      <c r="K12" s="345">
        <v>0</v>
      </c>
      <c r="L12" s="345">
        <v>0</v>
      </c>
      <c r="M12" s="345">
        <v>0</v>
      </c>
      <c r="N12" s="345">
        <v>0</v>
      </c>
      <c r="O12" s="345">
        <v>0</v>
      </c>
      <c r="P12" s="345">
        <v>0</v>
      </c>
      <c r="Q12" s="345">
        <v>0</v>
      </c>
      <c r="R12" s="345">
        <v>0</v>
      </c>
      <c r="S12" s="345">
        <v>0</v>
      </c>
      <c r="T12" s="345">
        <v>0</v>
      </c>
      <c r="U12" s="345">
        <v>0</v>
      </c>
      <c r="V12" s="345">
        <v>0</v>
      </c>
      <c r="W12" s="345">
        <v>0</v>
      </c>
      <c r="X12" s="345">
        <v>0</v>
      </c>
      <c r="Y12" s="345">
        <v>0</v>
      </c>
      <c r="Z12" s="345">
        <v>0</v>
      </c>
      <c r="AA12" s="345">
        <v>0</v>
      </c>
      <c r="AB12" s="345">
        <v>0</v>
      </c>
      <c r="AC12" s="345">
        <v>0</v>
      </c>
      <c r="AD12" s="345">
        <v>0</v>
      </c>
      <c r="AE12" s="345">
        <v>0</v>
      </c>
      <c r="AF12" s="345">
        <v>0</v>
      </c>
      <c r="AG12" s="345">
        <v>0</v>
      </c>
      <c r="AH12" s="345">
        <v>0</v>
      </c>
      <c r="AI12" s="345">
        <v>0</v>
      </c>
      <c r="AJ12" s="345">
        <v>0</v>
      </c>
      <c r="AK12" s="345">
        <v>0</v>
      </c>
      <c r="AL12" s="345">
        <v>0</v>
      </c>
      <c r="AM12" s="345">
        <v>0</v>
      </c>
      <c r="AN12" s="345">
        <v>0</v>
      </c>
      <c r="AO12" s="345">
        <v>0</v>
      </c>
      <c r="AP12" s="345">
        <v>0</v>
      </c>
      <c r="AQ12" s="345">
        <v>0</v>
      </c>
      <c r="AR12" s="345">
        <v>0</v>
      </c>
      <c r="AS12" s="345">
        <v>0</v>
      </c>
      <c r="AT12" s="345">
        <v>0</v>
      </c>
      <c r="AU12" s="345">
        <v>0</v>
      </c>
      <c r="AV12" s="345">
        <v>0</v>
      </c>
      <c r="AW12" s="345">
        <v>0</v>
      </c>
      <c r="AX12" s="345">
        <v>0</v>
      </c>
      <c r="AY12" s="345">
        <v>0</v>
      </c>
      <c r="AZ12" s="345">
        <v>0</v>
      </c>
      <c r="BA12" s="345">
        <v>0</v>
      </c>
      <c r="BB12" s="345">
        <v>0</v>
      </c>
      <c r="BC12" s="345">
        <v>0</v>
      </c>
      <c r="BD12" s="345">
        <v>0</v>
      </c>
      <c r="BE12" s="345">
        <v>0</v>
      </c>
      <c r="BF12" s="345">
        <v>0</v>
      </c>
      <c r="BG12" s="345">
        <f t="shared" si="5"/>
        <v>0</v>
      </c>
      <c r="BH12" s="345">
        <f t="shared" si="5"/>
        <v>0</v>
      </c>
      <c r="BI12" s="345">
        <f t="shared" si="5"/>
        <v>0</v>
      </c>
      <c r="BJ12" s="345">
        <f t="shared" si="5"/>
        <v>0</v>
      </c>
      <c r="BK12" s="302">
        <f>+SUM(BG10:BG12)-B10</f>
        <v>0</v>
      </c>
    </row>
    <row r="13" spans="1:64" ht="45.75" customHeight="1" x14ac:dyDescent="0.2">
      <c r="A13" s="284" t="s">
        <v>1991</v>
      </c>
      <c r="B13" s="342">
        <f t="shared" ref="B13:BF13" si="7">+B14+B17</f>
        <v>2757575287</v>
      </c>
      <c r="C13" s="342">
        <f t="shared" si="7"/>
        <v>173626780</v>
      </c>
      <c r="D13" s="342">
        <f t="shared" si="7"/>
        <v>164351514</v>
      </c>
      <c r="E13" s="342">
        <f t="shared" si="7"/>
        <v>164351514</v>
      </c>
      <c r="F13" s="342">
        <f t="shared" si="7"/>
        <v>164351514</v>
      </c>
      <c r="G13" s="342">
        <f t="shared" si="7"/>
        <v>0</v>
      </c>
      <c r="H13" s="342">
        <f t="shared" si="7"/>
        <v>0</v>
      </c>
      <c r="I13" s="342">
        <f t="shared" si="7"/>
        <v>0</v>
      </c>
      <c r="J13" s="342">
        <f t="shared" si="7"/>
        <v>0</v>
      </c>
      <c r="K13" s="342">
        <f t="shared" si="7"/>
        <v>0</v>
      </c>
      <c r="L13" s="342">
        <f t="shared" si="7"/>
        <v>0</v>
      </c>
      <c r="M13" s="342">
        <f t="shared" si="7"/>
        <v>0</v>
      </c>
      <c r="N13" s="342">
        <f t="shared" si="7"/>
        <v>0</v>
      </c>
      <c r="O13" s="342">
        <f t="shared" si="7"/>
        <v>0</v>
      </c>
      <c r="P13" s="342">
        <f t="shared" si="7"/>
        <v>0</v>
      </c>
      <c r="Q13" s="342">
        <f t="shared" si="7"/>
        <v>0</v>
      </c>
      <c r="R13" s="342">
        <f t="shared" si="7"/>
        <v>0</v>
      </c>
      <c r="S13" s="342">
        <f t="shared" si="7"/>
        <v>0</v>
      </c>
      <c r="T13" s="342">
        <f t="shared" si="7"/>
        <v>0</v>
      </c>
      <c r="U13" s="342">
        <f t="shared" si="7"/>
        <v>0</v>
      </c>
      <c r="V13" s="342">
        <f t="shared" si="7"/>
        <v>0</v>
      </c>
      <c r="W13" s="342">
        <f t="shared" si="7"/>
        <v>2583948507</v>
      </c>
      <c r="X13" s="342">
        <f t="shared" si="7"/>
        <v>2583601769.9200001</v>
      </c>
      <c r="Y13" s="342">
        <f t="shared" si="7"/>
        <v>2583601769.9200001</v>
      </c>
      <c r="Z13" s="342">
        <f t="shared" si="7"/>
        <v>2583601769.9200001</v>
      </c>
      <c r="AA13" s="342">
        <f t="shared" si="7"/>
        <v>0</v>
      </c>
      <c r="AB13" s="342">
        <f t="shared" si="7"/>
        <v>0</v>
      </c>
      <c r="AC13" s="342">
        <f t="shared" si="7"/>
        <v>0</v>
      </c>
      <c r="AD13" s="342">
        <f t="shared" si="7"/>
        <v>0</v>
      </c>
      <c r="AE13" s="342">
        <f t="shared" si="7"/>
        <v>0</v>
      </c>
      <c r="AF13" s="342">
        <f t="shared" si="7"/>
        <v>0</v>
      </c>
      <c r="AG13" s="342">
        <f t="shared" si="7"/>
        <v>0</v>
      </c>
      <c r="AH13" s="342">
        <f t="shared" si="7"/>
        <v>0</v>
      </c>
      <c r="AI13" s="342">
        <f t="shared" si="7"/>
        <v>0</v>
      </c>
      <c r="AJ13" s="342">
        <f t="shared" si="7"/>
        <v>0</v>
      </c>
      <c r="AK13" s="342">
        <f t="shared" si="7"/>
        <v>0</v>
      </c>
      <c r="AL13" s="342">
        <f t="shared" si="7"/>
        <v>0</v>
      </c>
      <c r="AM13" s="342">
        <f t="shared" si="7"/>
        <v>0</v>
      </c>
      <c r="AN13" s="342">
        <f t="shared" si="7"/>
        <v>0</v>
      </c>
      <c r="AO13" s="342">
        <f t="shared" si="7"/>
        <v>0</v>
      </c>
      <c r="AP13" s="342">
        <f t="shared" si="7"/>
        <v>0</v>
      </c>
      <c r="AQ13" s="342">
        <f t="shared" si="7"/>
        <v>0</v>
      </c>
      <c r="AR13" s="342">
        <f t="shared" si="7"/>
        <v>0</v>
      </c>
      <c r="AS13" s="342">
        <f t="shared" si="7"/>
        <v>0</v>
      </c>
      <c r="AT13" s="342">
        <f t="shared" si="7"/>
        <v>0</v>
      </c>
      <c r="AU13" s="342">
        <f t="shared" si="7"/>
        <v>0</v>
      </c>
      <c r="AV13" s="342">
        <f t="shared" si="7"/>
        <v>0</v>
      </c>
      <c r="AW13" s="342">
        <f t="shared" si="7"/>
        <v>0</v>
      </c>
      <c r="AX13" s="342">
        <f t="shared" si="7"/>
        <v>0</v>
      </c>
      <c r="AY13" s="342">
        <f t="shared" si="7"/>
        <v>0</v>
      </c>
      <c r="AZ13" s="342">
        <f t="shared" si="7"/>
        <v>0</v>
      </c>
      <c r="BA13" s="342">
        <f t="shared" si="7"/>
        <v>0</v>
      </c>
      <c r="BB13" s="342">
        <f t="shared" si="7"/>
        <v>0</v>
      </c>
      <c r="BC13" s="342">
        <f t="shared" si="7"/>
        <v>0</v>
      </c>
      <c r="BD13" s="342">
        <f t="shared" si="7"/>
        <v>0</v>
      </c>
      <c r="BE13" s="342">
        <f t="shared" si="7"/>
        <v>0</v>
      </c>
      <c r="BF13" s="342">
        <f t="shared" si="7"/>
        <v>0</v>
      </c>
      <c r="BG13" s="342">
        <f t="shared" si="5"/>
        <v>2757575287</v>
      </c>
      <c r="BH13" s="342">
        <f t="shared" si="5"/>
        <v>2747953283.9200001</v>
      </c>
      <c r="BI13" s="342">
        <f t="shared" si="5"/>
        <v>2747953283.9200001</v>
      </c>
      <c r="BJ13" s="342">
        <f t="shared" si="5"/>
        <v>2747953283.9200001</v>
      </c>
      <c r="BK13" s="287"/>
    </row>
    <row r="14" spans="1:64" ht="45.75" customHeight="1" x14ac:dyDescent="0.2">
      <c r="A14" s="303" t="s">
        <v>1992</v>
      </c>
      <c r="B14" s="350">
        <f t="shared" ref="B14:AD14" si="8">SUM(B15:B16)</f>
        <v>0</v>
      </c>
      <c r="C14" s="350">
        <f t="shared" si="8"/>
        <v>0</v>
      </c>
      <c r="D14" s="350">
        <f t="shared" si="8"/>
        <v>0</v>
      </c>
      <c r="E14" s="350">
        <f t="shared" si="8"/>
        <v>0</v>
      </c>
      <c r="F14" s="350">
        <f t="shared" si="8"/>
        <v>0</v>
      </c>
      <c r="G14" s="350">
        <f t="shared" si="8"/>
        <v>0</v>
      </c>
      <c r="H14" s="350">
        <f t="shared" si="8"/>
        <v>0</v>
      </c>
      <c r="I14" s="350">
        <f t="shared" si="8"/>
        <v>0</v>
      </c>
      <c r="J14" s="350">
        <f t="shared" si="8"/>
        <v>0</v>
      </c>
      <c r="K14" s="350">
        <f t="shared" si="8"/>
        <v>0</v>
      </c>
      <c r="L14" s="350">
        <f t="shared" si="8"/>
        <v>0</v>
      </c>
      <c r="M14" s="350">
        <f t="shared" si="8"/>
        <v>0</v>
      </c>
      <c r="N14" s="350">
        <f t="shared" si="8"/>
        <v>0</v>
      </c>
      <c r="O14" s="350">
        <f t="shared" si="8"/>
        <v>0</v>
      </c>
      <c r="P14" s="350">
        <f t="shared" si="8"/>
        <v>0</v>
      </c>
      <c r="Q14" s="350">
        <f t="shared" si="8"/>
        <v>0</v>
      </c>
      <c r="R14" s="350">
        <f t="shared" si="8"/>
        <v>0</v>
      </c>
      <c r="S14" s="350">
        <f t="shared" si="8"/>
        <v>0</v>
      </c>
      <c r="T14" s="350">
        <f t="shared" si="8"/>
        <v>0</v>
      </c>
      <c r="U14" s="350">
        <f t="shared" si="8"/>
        <v>0</v>
      </c>
      <c r="V14" s="350">
        <f t="shared" si="8"/>
        <v>0</v>
      </c>
      <c r="W14" s="350">
        <f t="shared" si="8"/>
        <v>0</v>
      </c>
      <c r="X14" s="350">
        <f t="shared" si="8"/>
        <v>0</v>
      </c>
      <c r="Y14" s="350">
        <f t="shared" si="8"/>
        <v>0</v>
      </c>
      <c r="Z14" s="350">
        <f t="shared" si="8"/>
        <v>0</v>
      </c>
      <c r="AA14" s="350">
        <f t="shared" si="8"/>
        <v>0</v>
      </c>
      <c r="AB14" s="350">
        <f t="shared" si="8"/>
        <v>0</v>
      </c>
      <c r="AC14" s="350">
        <f t="shared" si="8"/>
        <v>0</v>
      </c>
      <c r="AD14" s="350">
        <f t="shared" si="8"/>
        <v>0</v>
      </c>
      <c r="AE14" s="350">
        <f t="shared" ref="AE14:BF14" si="9">SUM(AE15:AE16)</f>
        <v>0</v>
      </c>
      <c r="AF14" s="350">
        <f t="shared" si="9"/>
        <v>0</v>
      </c>
      <c r="AG14" s="350">
        <f t="shared" si="9"/>
        <v>0</v>
      </c>
      <c r="AH14" s="350">
        <f t="shared" si="9"/>
        <v>0</v>
      </c>
      <c r="AI14" s="350">
        <f t="shared" si="9"/>
        <v>0</v>
      </c>
      <c r="AJ14" s="350">
        <f t="shared" si="9"/>
        <v>0</v>
      </c>
      <c r="AK14" s="350">
        <f t="shared" si="9"/>
        <v>0</v>
      </c>
      <c r="AL14" s="350">
        <f t="shared" si="9"/>
        <v>0</v>
      </c>
      <c r="AM14" s="350">
        <f t="shared" si="9"/>
        <v>0</v>
      </c>
      <c r="AN14" s="350">
        <f t="shared" si="9"/>
        <v>0</v>
      </c>
      <c r="AO14" s="350">
        <f t="shared" si="9"/>
        <v>0</v>
      </c>
      <c r="AP14" s="350">
        <f t="shared" si="9"/>
        <v>0</v>
      </c>
      <c r="AQ14" s="350">
        <f t="shared" si="9"/>
        <v>0</v>
      </c>
      <c r="AR14" s="350">
        <f t="shared" si="9"/>
        <v>0</v>
      </c>
      <c r="AS14" s="350">
        <f t="shared" si="9"/>
        <v>0</v>
      </c>
      <c r="AT14" s="350">
        <f t="shared" si="9"/>
        <v>0</v>
      </c>
      <c r="AU14" s="350">
        <f t="shared" si="9"/>
        <v>0</v>
      </c>
      <c r="AV14" s="350">
        <f t="shared" si="9"/>
        <v>0</v>
      </c>
      <c r="AW14" s="350">
        <f t="shared" si="9"/>
        <v>0</v>
      </c>
      <c r="AX14" s="350">
        <f t="shared" si="9"/>
        <v>0</v>
      </c>
      <c r="AY14" s="350">
        <f t="shared" si="9"/>
        <v>0</v>
      </c>
      <c r="AZ14" s="350">
        <f t="shared" si="9"/>
        <v>0</v>
      </c>
      <c r="BA14" s="350">
        <f t="shared" si="9"/>
        <v>0</v>
      </c>
      <c r="BB14" s="350">
        <f t="shared" si="9"/>
        <v>0</v>
      </c>
      <c r="BC14" s="350">
        <f t="shared" si="9"/>
        <v>0</v>
      </c>
      <c r="BD14" s="350">
        <f t="shared" si="9"/>
        <v>0</v>
      </c>
      <c r="BE14" s="350">
        <f t="shared" si="9"/>
        <v>0</v>
      </c>
      <c r="BF14" s="350">
        <f t="shared" si="9"/>
        <v>0</v>
      </c>
      <c r="BG14" s="350">
        <f>ROUND(+C14+G14+K14+O14+S14+W14+AA14+AE14+AI14+AM14+AQ14+AU14+AY14+BC14,0)</f>
        <v>0</v>
      </c>
      <c r="BH14" s="350">
        <f>ROUND(+D14+H14+L14+P14+T14+X14+AB14+AF14+AJ14+AN14+AR14+AV14+AZ14+BD14,0)</f>
        <v>0</v>
      </c>
      <c r="BI14" s="350">
        <f>ROUND(+E14+I14+M14+Q14+U14+Y14+AC14+AG14+AK14+AO14+AS14+AW14+BA14+BE14,0)</f>
        <v>0</v>
      </c>
      <c r="BJ14" s="350">
        <f>ROUND(+F14+J14+N14+R14+V14+Z14+AD14+AH14+AL14+AP14+AT14+AX14+BB14+BF14,0)</f>
        <v>0</v>
      </c>
      <c r="BK14" s="291">
        <f>+SUM(BG15:BG16)-BG14</f>
        <v>0</v>
      </c>
      <c r="BL14" s="292">
        <f>+BG14-B14</f>
        <v>0</v>
      </c>
    </row>
    <row r="15" spans="1:64" ht="45.75" customHeight="1" x14ac:dyDescent="0.2">
      <c r="A15" s="293" t="s">
        <v>1993</v>
      </c>
      <c r="B15" s="351">
        <v>0</v>
      </c>
      <c r="C15" s="345">
        <v>0</v>
      </c>
      <c r="D15" s="345">
        <v>0</v>
      </c>
      <c r="E15" s="345">
        <v>0</v>
      </c>
      <c r="F15" s="345">
        <v>0</v>
      </c>
      <c r="G15" s="345">
        <v>0</v>
      </c>
      <c r="H15" s="345">
        <v>0</v>
      </c>
      <c r="I15" s="345">
        <v>0</v>
      </c>
      <c r="J15" s="345">
        <v>0</v>
      </c>
      <c r="K15" s="345">
        <v>0</v>
      </c>
      <c r="L15" s="345">
        <v>0</v>
      </c>
      <c r="M15" s="345">
        <v>0</v>
      </c>
      <c r="N15" s="345">
        <v>0</v>
      </c>
      <c r="O15" s="345">
        <v>0</v>
      </c>
      <c r="P15" s="345">
        <v>0</v>
      </c>
      <c r="Q15" s="345">
        <v>0</v>
      </c>
      <c r="R15" s="345">
        <v>0</v>
      </c>
      <c r="S15" s="345">
        <v>0</v>
      </c>
      <c r="T15" s="345">
        <v>0</v>
      </c>
      <c r="U15" s="345">
        <v>0</v>
      </c>
      <c r="V15" s="345">
        <v>0</v>
      </c>
      <c r="W15" s="345">
        <v>0</v>
      </c>
      <c r="X15" s="345">
        <v>0</v>
      </c>
      <c r="Y15" s="345">
        <v>0</v>
      </c>
      <c r="Z15" s="345">
        <v>0</v>
      </c>
      <c r="AA15" s="345">
        <v>0</v>
      </c>
      <c r="AB15" s="345">
        <v>0</v>
      </c>
      <c r="AC15" s="345">
        <v>0</v>
      </c>
      <c r="AD15" s="345">
        <v>0</v>
      </c>
      <c r="AE15" s="345">
        <v>0</v>
      </c>
      <c r="AF15" s="345">
        <v>0</v>
      </c>
      <c r="AG15" s="345">
        <v>0</v>
      </c>
      <c r="AH15" s="345">
        <v>0</v>
      </c>
      <c r="AI15" s="345">
        <v>0</v>
      </c>
      <c r="AJ15" s="345">
        <v>0</v>
      </c>
      <c r="AK15" s="345">
        <v>0</v>
      </c>
      <c r="AL15" s="345">
        <v>0</v>
      </c>
      <c r="AM15" s="345">
        <v>0</v>
      </c>
      <c r="AN15" s="345">
        <v>0</v>
      </c>
      <c r="AO15" s="345">
        <v>0</v>
      </c>
      <c r="AP15" s="345">
        <v>0</v>
      </c>
      <c r="AQ15" s="345">
        <v>0</v>
      </c>
      <c r="AR15" s="345">
        <v>0</v>
      </c>
      <c r="AS15" s="345">
        <v>0</v>
      </c>
      <c r="AT15" s="345">
        <v>0</v>
      </c>
      <c r="AU15" s="345">
        <v>0</v>
      </c>
      <c r="AV15" s="345">
        <v>0</v>
      </c>
      <c r="AW15" s="345">
        <v>0</v>
      </c>
      <c r="AX15" s="345">
        <v>0</v>
      </c>
      <c r="AY15" s="345">
        <v>0</v>
      </c>
      <c r="AZ15" s="345">
        <v>0</v>
      </c>
      <c r="BA15" s="345">
        <v>0</v>
      </c>
      <c r="BB15" s="345">
        <v>0</v>
      </c>
      <c r="BC15" s="345">
        <v>0</v>
      </c>
      <c r="BD15" s="345">
        <v>0</v>
      </c>
      <c r="BE15" s="345">
        <v>0</v>
      </c>
      <c r="BF15" s="345">
        <v>0</v>
      </c>
      <c r="BG15" s="345">
        <f t="shared" si="5"/>
        <v>0</v>
      </c>
      <c r="BH15" s="345">
        <f t="shared" si="5"/>
        <v>0</v>
      </c>
      <c r="BI15" s="345">
        <f t="shared" si="5"/>
        <v>0</v>
      </c>
      <c r="BJ15" s="345">
        <f t="shared" si="5"/>
        <v>0</v>
      </c>
      <c r="BK15" s="287"/>
    </row>
    <row r="16" spans="1:64" ht="45.75" customHeight="1" x14ac:dyDescent="0.2">
      <c r="A16" s="293" t="s">
        <v>1994</v>
      </c>
      <c r="B16" s="352"/>
      <c r="C16" s="345">
        <v>0</v>
      </c>
      <c r="D16" s="345">
        <v>0</v>
      </c>
      <c r="E16" s="345">
        <v>0</v>
      </c>
      <c r="F16" s="345">
        <v>0</v>
      </c>
      <c r="G16" s="345">
        <v>0</v>
      </c>
      <c r="H16" s="345">
        <v>0</v>
      </c>
      <c r="I16" s="345">
        <v>0</v>
      </c>
      <c r="J16" s="345">
        <v>0</v>
      </c>
      <c r="K16" s="345">
        <v>0</v>
      </c>
      <c r="L16" s="345">
        <v>0</v>
      </c>
      <c r="M16" s="345">
        <v>0</v>
      </c>
      <c r="N16" s="345">
        <v>0</v>
      </c>
      <c r="O16" s="345">
        <v>0</v>
      </c>
      <c r="P16" s="345">
        <v>0</v>
      </c>
      <c r="Q16" s="345">
        <v>0</v>
      </c>
      <c r="R16" s="345">
        <v>0</v>
      </c>
      <c r="S16" s="345">
        <v>0</v>
      </c>
      <c r="T16" s="345">
        <v>0</v>
      </c>
      <c r="U16" s="345">
        <v>0</v>
      </c>
      <c r="V16" s="345">
        <v>0</v>
      </c>
      <c r="W16" s="345">
        <v>0</v>
      </c>
      <c r="X16" s="345">
        <v>0</v>
      </c>
      <c r="Y16" s="345">
        <v>0</v>
      </c>
      <c r="Z16" s="345">
        <v>0</v>
      </c>
      <c r="AA16" s="345">
        <v>0</v>
      </c>
      <c r="AB16" s="345">
        <v>0</v>
      </c>
      <c r="AC16" s="345">
        <v>0</v>
      </c>
      <c r="AD16" s="345">
        <v>0</v>
      </c>
      <c r="AE16" s="345">
        <v>0</v>
      </c>
      <c r="AF16" s="345">
        <v>0</v>
      </c>
      <c r="AG16" s="345">
        <v>0</v>
      </c>
      <c r="AH16" s="345">
        <v>0</v>
      </c>
      <c r="AI16" s="345">
        <v>0</v>
      </c>
      <c r="AJ16" s="345">
        <v>0</v>
      </c>
      <c r="AK16" s="345">
        <v>0</v>
      </c>
      <c r="AL16" s="345">
        <v>0</v>
      </c>
      <c r="AM16" s="345">
        <v>0</v>
      </c>
      <c r="AN16" s="345">
        <v>0</v>
      </c>
      <c r="AO16" s="345">
        <v>0</v>
      </c>
      <c r="AP16" s="345">
        <v>0</v>
      </c>
      <c r="AQ16" s="345">
        <v>0</v>
      </c>
      <c r="AR16" s="345">
        <v>0</v>
      </c>
      <c r="AS16" s="345">
        <v>0</v>
      </c>
      <c r="AT16" s="345">
        <v>0</v>
      </c>
      <c r="AU16" s="345">
        <v>0</v>
      </c>
      <c r="AV16" s="345">
        <v>0</v>
      </c>
      <c r="AW16" s="345">
        <v>0</v>
      </c>
      <c r="AX16" s="345">
        <v>0</v>
      </c>
      <c r="AY16" s="345">
        <v>0</v>
      </c>
      <c r="AZ16" s="345">
        <v>0</v>
      </c>
      <c r="BA16" s="345">
        <v>0</v>
      </c>
      <c r="BB16" s="345">
        <v>0</v>
      </c>
      <c r="BC16" s="345">
        <v>0</v>
      </c>
      <c r="BD16" s="345">
        <v>0</v>
      </c>
      <c r="BE16" s="345">
        <v>0</v>
      </c>
      <c r="BF16" s="345">
        <v>0</v>
      </c>
      <c r="BG16" s="345">
        <f t="shared" si="5"/>
        <v>0</v>
      </c>
      <c r="BH16" s="345">
        <f t="shared" si="5"/>
        <v>0</v>
      </c>
      <c r="BI16" s="345">
        <f t="shared" si="5"/>
        <v>0</v>
      </c>
      <c r="BJ16" s="345">
        <f t="shared" si="5"/>
        <v>0</v>
      </c>
      <c r="BK16" s="291">
        <f>+SUM(BG15:BG16)-B15</f>
        <v>0</v>
      </c>
    </row>
    <row r="17" spans="1:64" ht="45.75" customHeight="1" x14ac:dyDescent="0.2">
      <c r="A17" s="303" t="s">
        <v>1995</v>
      </c>
      <c r="B17" s="343">
        <f>SUM(B18:B21)</f>
        <v>2757575287</v>
      </c>
      <c r="C17" s="343">
        <f t="shared" ref="C17:BF17" si="10">SUM(C18:C21)</f>
        <v>173626780</v>
      </c>
      <c r="D17" s="343">
        <f>SUM(D18:D21)</f>
        <v>164351514</v>
      </c>
      <c r="E17" s="343">
        <f>SUM(E19:E21)</f>
        <v>164351514</v>
      </c>
      <c r="F17" s="343">
        <f>SUM(F19:F21)</f>
        <v>164351514</v>
      </c>
      <c r="G17" s="343">
        <f t="shared" si="10"/>
        <v>0</v>
      </c>
      <c r="H17" s="343">
        <f t="shared" si="10"/>
        <v>0</v>
      </c>
      <c r="I17" s="343">
        <f t="shared" si="10"/>
        <v>0</v>
      </c>
      <c r="J17" s="343">
        <f t="shared" si="10"/>
        <v>0</v>
      </c>
      <c r="K17" s="343">
        <f t="shared" si="10"/>
        <v>0</v>
      </c>
      <c r="L17" s="343">
        <f t="shared" si="10"/>
        <v>0</v>
      </c>
      <c r="M17" s="343">
        <f t="shared" si="10"/>
        <v>0</v>
      </c>
      <c r="N17" s="343">
        <f t="shared" si="10"/>
        <v>0</v>
      </c>
      <c r="O17" s="343">
        <f t="shared" si="10"/>
        <v>0</v>
      </c>
      <c r="P17" s="343">
        <f t="shared" si="10"/>
        <v>0</v>
      </c>
      <c r="Q17" s="343">
        <f t="shared" si="10"/>
        <v>0</v>
      </c>
      <c r="R17" s="343">
        <f t="shared" si="10"/>
        <v>0</v>
      </c>
      <c r="S17" s="343">
        <f t="shared" si="10"/>
        <v>0</v>
      </c>
      <c r="T17" s="343">
        <f t="shared" si="10"/>
        <v>0</v>
      </c>
      <c r="U17" s="343">
        <f t="shared" si="10"/>
        <v>0</v>
      </c>
      <c r="V17" s="343">
        <f t="shared" si="10"/>
        <v>0</v>
      </c>
      <c r="W17" s="343">
        <f t="shared" si="10"/>
        <v>2583948507</v>
      </c>
      <c r="X17" s="343">
        <f t="shared" si="10"/>
        <v>2583601769.9200001</v>
      </c>
      <c r="Y17" s="343">
        <f t="shared" si="10"/>
        <v>2583601769.9200001</v>
      </c>
      <c r="Z17" s="343">
        <f t="shared" si="10"/>
        <v>2583601769.9200001</v>
      </c>
      <c r="AA17" s="343">
        <f t="shared" si="10"/>
        <v>0</v>
      </c>
      <c r="AB17" s="343">
        <f t="shared" si="10"/>
        <v>0</v>
      </c>
      <c r="AC17" s="343">
        <f t="shared" si="10"/>
        <v>0</v>
      </c>
      <c r="AD17" s="343">
        <f t="shared" si="10"/>
        <v>0</v>
      </c>
      <c r="AE17" s="343">
        <f t="shared" si="10"/>
        <v>0</v>
      </c>
      <c r="AF17" s="343">
        <f t="shared" si="10"/>
        <v>0</v>
      </c>
      <c r="AG17" s="343">
        <f t="shared" si="10"/>
        <v>0</v>
      </c>
      <c r="AH17" s="343">
        <f t="shared" si="10"/>
        <v>0</v>
      </c>
      <c r="AI17" s="343">
        <f t="shared" si="10"/>
        <v>0</v>
      </c>
      <c r="AJ17" s="343">
        <f t="shared" si="10"/>
        <v>0</v>
      </c>
      <c r="AK17" s="343">
        <f t="shared" si="10"/>
        <v>0</v>
      </c>
      <c r="AL17" s="343">
        <f t="shared" si="10"/>
        <v>0</v>
      </c>
      <c r="AM17" s="343">
        <f t="shared" si="10"/>
        <v>0</v>
      </c>
      <c r="AN17" s="343">
        <f t="shared" si="10"/>
        <v>0</v>
      </c>
      <c r="AO17" s="343">
        <f t="shared" si="10"/>
        <v>0</v>
      </c>
      <c r="AP17" s="343">
        <f t="shared" si="10"/>
        <v>0</v>
      </c>
      <c r="AQ17" s="343">
        <f t="shared" si="10"/>
        <v>0</v>
      </c>
      <c r="AR17" s="343">
        <f t="shared" si="10"/>
        <v>0</v>
      </c>
      <c r="AS17" s="343">
        <f t="shared" si="10"/>
        <v>0</v>
      </c>
      <c r="AT17" s="343">
        <f t="shared" si="10"/>
        <v>0</v>
      </c>
      <c r="AU17" s="343">
        <f t="shared" si="10"/>
        <v>0</v>
      </c>
      <c r="AV17" s="343">
        <f t="shared" si="10"/>
        <v>0</v>
      </c>
      <c r="AW17" s="343">
        <f t="shared" si="10"/>
        <v>0</v>
      </c>
      <c r="AX17" s="343">
        <f t="shared" si="10"/>
        <v>0</v>
      </c>
      <c r="AY17" s="343">
        <f t="shared" si="10"/>
        <v>0</v>
      </c>
      <c r="AZ17" s="343">
        <f t="shared" si="10"/>
        <v>0</v>
      </c>
      <c r="BA17" s="343">
        <f t="shared" si="10"/>
        <v>0</v>
      </c>
      <c r="BB17" s="343">
        <f t="shared" si="10"/>
        <v>0</v>
      </c>
      <c r="BC17" s="343">
        <f t="shared" si="10"/>
        <v>0</v>
      </c>
      <c r="BD17" s="343">
        <f t="shared" si="10"/>
        <v>0</v>
      </c>
      <c r="BE17" s="343">
        <f t="shared" si="10"/>
        <v>0</v>
      </c>
      <c r="BF17" s="343">
        <f t="shared" si="10"/>
        <v>0</v>
      </c>
      <c r="BG17" s="343">
        <f>ROUND(+C17+G17+K17+O17+S17+W17+AA17+AE17+AI17+AM17+AQ17+AU17+AY17+BC17,0)</f>
        <v>2757575287</v>
      </c>
      <c r="BH17" s="343">
        <f>ROUND(+D17+H17+L17+P17+T17+X17+AB17+AF17+AJ17+AN17+AR17+AV17+AZ17+BD17,0)</f>
        <v>2747953284</v>
      </c>
      <c r="BI17" s="343">
        <f>ROUND(+E17+I17+M17+Q17+U17+Y17+AC17+AG17+AK17+AO17+AS17+AW17+BA17+BE17,0)</f>
        <v>2747953284</v>
      </c>
      <c r="BJ17" s="343">
        <f>ROUND(+F17+J17+N17+R17+V17+Z17+AD17+AH17+AL17+AP17+AT17+AX17+BB17+BF17,0)</f>
        <v>2747953284</v>
      </c>
      <c r="BK17" s="291">
        <f>+SUM(BG18:BG21)-BG17</f>
        <v>0</v>
      </c>
      <c r="BL17" s="292">
        <f>+BG17-B17</f>
        <v>0</v>
      </c>
    </row>
    <row r="18" spans="1:64" ht="45.75" customHeight="1" x14ac:dyDescent="0.2">
      <c r="A18" s="293" t="s">
        <v>1996</v>
      </c>
      <c r="B18" s="344">
        <f>(85764559+36000000+51862221)+2583948507</f>
        <v>2757575287</v>
      </c>
      <c r="C18" s="345">
        <v>0</v>
      </c>
      <c r="D18" s="345">
        <v>0</v>
      </c>
      <c r="E18" s="345">
        <v>0</v>
      </c>
      <c r="F18" s="345">
        <v>0</v>
      </c>
      <c r="G18" s="345">
        <v>0</v>
      </c>
      <c r="H18" s="345">
        <v>0</v>
      </c>
      <c r="I18" s="345">
        <v>0</v>
      </c>
      <c r="J18" s="345">
        <v>0</v>
      </c>
      <c r="K18" s="345">
        <v>0</v>
      </c>
      <c r="L18" s="345">
        <v>0</v>
      </c>
      <c r="M18" s="345">
        <v>0</v>
      </c>
      <c r="N18" s="345">
        <v>0</v>
      </c>
      <c r="O18" s="345">
        <v>0</v>
      </c>
      <c r="P18" s="345">
        <v>0</v>
      </c>
      <c r="Q18" s="345">
        <v>0</v>
      </c>
      <c r="R18" s="345">
        <v>0</v>
      </c>
      <c r="S18" s="345">
        <v>0</v>
      </c>
      <c r="T18" s="345">
        <v>0</v>
      </c>
      <c r="U18" s="345">
        <v>0</v>
      </c>
      <c r="V18" s="345">
        <v>0</v>
      </c>
      <c r="W18" s="345">
        <v>0</v>
      </c>
      <c r="X18" s="345">
        <v>0</v>
      </c>
      <c r="Y18" s="345">
        <v>0</v>
      </c>
      <c r="Z18" s="345">
        <v>0</v>
      </c>
      <c r="AA18" s="345">
        <v>0</v>
      </c>
      <c r="AB18" s="345">
        <v>0</v>
      </c>
      <c r="AC18" s="345">
        <v>0</v>
      </c>
      <c r="AD18" s="345">
        <v>0</v>
      </c>
      <c r="AE18" s="345">
        <v>0</v>
      </c>
      <c r="AF18" s="345">
        <v>0</v>
      </c>
      <c r="AG18" s="345">
        <v>0</v>
      </c>
      <c r="AH18" s="345">
        <v>0</v>
      </c>
      <c r="AI18" s="345">
        <v>0</v>
      </c>
      <c r="AJ18" s="345">
        <v>0</v>
      </c>
      <c r="AK18" s="345">
        <v>0</v>
      </c>
      <c r="AL18" s="345">
        <v>0</v>
      </c>
      <c r="AM18" s="345">
        <v>0</v>
      </c>
      <c r="AN18" s="345">
        <v>0</v>
      </c>
      <c r="AO18" s="345">
        <v>0</v>
      </c>
      <c r="AP18" s="345">
        <v>0</v>
      </c>
      <c r="AQ18" s="345">
        <v>0</v>
      </c>
      <c r="AR18" s="345">
        <v>0</v>
      </c>
      <c r="AS18" s="345">
        <v>0</v>
      </c>
      <c r="AT18" s="345">
        <v>0</v>
      </c>
      <c r="AU18" s="345">
        <v>0</v>
      </c>
      <c r="AV18" s="345">
        <v>0</v>
      </c>
      <c r="AW18" s="345">
        <v>0</v>
      </c>
      <c r="AX18" s="345">
        <v>0</v>
      </c>
      <c r="AY18" s="345">
        <v>0</v>
      </c>
      <c r="AZ18" s="345">
        <v>0</v>
      </c>
      <c r="BA18" s="345">
        <v>0</v>
      </c>
      <c r="BB18" s="345">
        <v>0</v>
      </c>
      <c r="BC18" s="345">
        <v>0</v>
      </c>
      <c r="BD18" s="345">
        <v>0</v>
      </c>
      <c r="BE18" s="345">
        <v>0</v>
      </c>
      <c r="BF18" s="345">
        <v>0</v>
      </c>
      <c r="BG18" s="345">
        <f t="shared" si="5"/>
        <v>0</v>
      </c>
      <c r="BH18" s="345">
        <f t="shared" si="5"/>
        <v>0</v>
      </c>
      <c r="BI18" s="345">
        <f t="shared" si="5"/>
        <v>0</v>
      </c>
      <c r="BJ18" s="345">
        <f t="shared" si="5"/>
        <v>0</v>
      </c>
      <c r="BK18" s="287"/>
    </row>
    <row r="19" spans="1:64" ht="45.75" customHeight="1" x14ac:dyDescent="0.2">
      <c r="A19" s="293" t="s">
        <v>1997</v>
      </c>
      <c r="B19" s="346"/>
      <c r="C19" s="345">
        <v>0</v>
      </c>
      <c r="D19" s="345">
        <v>0</v>
      </c>
      <c r="E19" s="345">
        <v>0</v>
      </c>
      <c r="F19" s="345">
        <v>0</v>
      </c>
      <c r="G19" s="345">
        <v>0</v>
      </c>
      <c r="H19" s="345">
        <v>0</v>
      </c>
      <c r="I19" s="345">
        <v>0</v>
      </c>
      <c r="J19" s="345">
        <v>0</v>
      </c>
      <c r="K19" s="345">
        <v>0</v>
      </c>
      <c r="L19" s="345">
        <v>0</v>
      </c>
      <c r="M19" s="345">
        <v>0</v>
      </c>
      <c r="N19" s="345">
        <v>0</v>
      </c>
      <c r="O19" s="345">
        <v>0</v>
      </c>
      <c r="P19" s="345">
        <v>0</v>
      </c>
      <c r="Q19" s="345">
        <v>0</v>
      </c>
      <c r="R19" s="345">
        <v>0</v>
      </c>
      <c r="S19" s="345">
        <v>0</v>
      </c>
      <c r="T19" s="345">
        <v>0</v>
      </c>
      <c r="U19" s="345">
        <v>0</v>
      </c>
      <c r="V19" s="345">
        <v>0</v>
      </c>
      <c r="W19" s="345">
        <v>0</v>
      </c>
      <c r="X19" s="345">
        <v>0</v>
      </c>
      <c r="Y19" s="345">
        <v>0</v>
      </c>
      <c r="Z19" s="345">
        <v>0</v>
      </c>
      <c r="AA19" s="345">
        <v>0</v>
      </c>
      <c r="AB19" s="345">
        <v>0</v>
      </c>
      <c r="AC19" s="345">
        <v>0</v>
      </c>
      <c r="AD19" s="345">
        <v>0</v>
      </c>
      <c r="AE19" s="345">
        <v>0</v>
      </c>
      <c r="AF19" s="345">
        <v>0</v>
      </c>
      <c r="AG19" s="345">
        <v>0</v>
      </c>
      <c r="AH19" s="345">
        <v>0</v>
      </c>
      <c r="AI19" s="345">
        <v>0</v>
      </c>
      <c r="AJ19" s="345">
        <v>0</v>
      </c>
      <c r="AK19" s="345">
        <v>0</v>
      </c>
      <c r="AL19" s="345">
        <v>0</v>
      </c>
      <c r="AM19" s="345">
        <v>0</v>
      </c>
      <c r="AN19" s="345">
        <v>0</v>
      </c>
      <c r="AO19" s="345">
        <v>0</v>
      </c>
      <c r="AP19" s="345">
        <v>0</v>
      </c>
      <c r="AQ19" s="345">
        <v>0</v>
      </c>
      <c r="AR19" s="345">
        <v>0</v>
      </c>
      <c r="AS19" s="345">
        <v>0</v>
      </c>
      <c r="AT19" s="345">
        <v>0</v>
      </c>
      <c r="AU19" s="345">
        <v>0</v>
      </c>
      <c r="AV19" s="345">
        <v>0</v>
      </c>
      <c r="AW19" s="345">
        <v>0</v>
      </c>
      <c r="AX19" s="345">
        <v>0</v>
      </c>
      <c r="AY19" s="345">
        <v>0</v>
      </c>
      <c r="AZ19" s="345">
        <v>0</v>
      </c>
      <c r="BA19" s="345">
        <v>0</v>
      </c>
      <c r="BB19" s="345">
        <v>0</v>
      </c>
      <c r="BC19" s="345">
        <v>0</v>
      </c>
      <c r="BD19" s="345">
        <v>0</v>
      </c>
      <c r="BE19" s="345">
        <v>0</v>
      </c>
      <c r="BF19" s="345">
        <v>0</v>
      </c>
      <c r="BG19" s="345">
        <f t="shared" si="5"/>
        <v>0</v>
      </c>
      <c r="BH19" s="345">
        <f t="shared" si="5"/>
        <v>0</v>
      </c>
      <c r="BI19" s="345">
        <f t="shared" si="5"/>
        <v>0</v>
      </c>
      <c r="BJ19" s="345">
        <f t="shared" si="5"/>
        <v>0</v>
      </c>
      <c r="BK19" s="287"/>
    </row>
    <row r="20" spans="1:64" ht="45.75" customHeight="1" x14ac:dyDescent="0.2">
      <c r="A20" s="305" t="s">
        <v>1998</v>
      </c>
      <c r="B20" s="346"/>
      <c r="C20" s="347">
        <f>(85764559+36000000+51862221)/2</f>
        <v>86813390</v>
      </c>
      <c r="D20" s="347">
        <f>(121325059+43026455)/2</f>
        <v>82175757</v>
      </c>
      <c r="E20" s="347">
        <f t="shared" ref="E20:F21" si="11">(121325059+43026455)/2</f>
        <v>82175757</v>
      </c>
      <c r="F20" s="347">
        <f t="shared" si="11"/>
        <v>82175757</v>
      </c>
      <c r="G20" s="348">
        <v>0</v>
      </c>
      <c r="H20" s="348">
        <v>0</v>
      </c>
      <c r="I20" s="348">
        <v>0</v>
      </c>
      <c r="J20" s="348">
        <v>0</v>
      </c>
      <c r="K20" s="348">
        <v>0</v>
      </c>
      <c r="L20" s="348">
        <v>0</v>
      </c>
      <c r="M20" s="348">
        <v>0</v>
      </c>
      <c r="N20" s="348">
        <v>0</v>
      </c>
      <c r="O20" s="348">
        <v>0</v>
      </c>
      <c r="P20" s="348">
        <v>0</v>
      </c>
      <c r="Q20" s="348">
        <v>0</v>
      </c>
      <c r="R20" s="348">
        <v>0</v>
      </c>
      <c r="S20" s="348">
        <v>0</v>
      </c>
      <c r="T20" s="348">
        <v>0</v>
      </c>
      <c r="U20" s="348">
        <v>0</v>
      </c>
      <c r="V20" s="348">
        <v>0</v>
      </c>
      <c r="W20" s="353">
        <v>2583948507</v>
      </c>
      <c r="X20" s="353">
        <v>2583601769.9200001</v>
      </c>
      <c r="Y20" s="353">
        <v>2583601769.9200001</v>
      </c>
      <c r="Z20" s="353">
        <v>2583601769.9200001</v>
      </c>
      <c r="AA20" s="348">
        <v>0</v>
      </c>
      <c r="AB20" s="348">
        <v>0</v>
      </c>
      <c r="AC20" s="348">
        <v>0</v>
      </c>
      <c r="AD20" s="348">
        <v>0</v>
      </c>
      <c r="AE20" s="348">
        <v>0</v>
      </c>
      <c r="AF20" s="348">
        <v>0</v>
      </c>
      <c r="AG20" s="348">
        <v>0</v>
      </c>
      <c r="AH20" s="348">
        <v>0</v>
      </c>
      <c r="AI20" s="348">
        <v>0</v>
      </c>
      <c r="AJ20" s="348">
        <v>0</v>
      </c>
      <c r="AK20" s="348">
        <v>0</v>
      </c>
      <c r="AL20" s="348">
        <v>0</v>
      </c>
      <c r="AM20" s="348">
        <v>0</v>
      </c>
      <c r="AN20" s="348">
        <v>0</v>
      </c>
      <c r="AO20" s="348">
        <v>0</v>
      </c>
      <c r="AP20" s="348">
        <v>0</v>
      </c>
      <c r="AQ20" s="348">
        <v>0</v>
      </c>
      <c r="AR20" s="348">
        <v>0</v>
      </c>
      <c r="AS20" s="348">
        <v>0</v>
      </c>
      <c r="AT20" s="348">
        <v>0</v>
      </c>
      <c r="AU20" s="348">
        <v>0</v>
      </c>
      <c r="AV20" s="348">
        <v>0</v>
      </c>
      <c r="AW20" s="348">
        <v>0</v>
      </c>
      <c r="AX20" s="348">
        <v>0</v>
      </c>
      <c r="AY20" s="348">
        <v>0</v>
      </c>
      <c r="AZ20" s="348">
        <v>0</v>
      </c>
      <c r="BA20" s="348">
        <v>0</v>
      </c>
      <c r="BB20" s="348">
        <v>0</v>
      </c>
      <c r="BC20" s="348">
        <v>0</v>
      </c>
      <c r="BD20" s="348">
        <v>0</v>
      </c>
      <c r="BE20" s="348">
        <v>0</v>
      </c>
      <c r="BF20" s="348">
        <v>0</v>
      </c>
      <c r="BG20" s="353">
        <f t="shared" si="5"/>
        <v>2670761897</v>
      </c>
      <c r="BH20" s="353">
        <f t="shared" si="5"/>
        <v>2665777526.9200001</v>
      </c>
      <c r="BI20" s="353">
        <f t="shared" si="5"/>
        <v>2665777526.9200001</v>
      </c>
      <c r="BJ20" s="353">
        <f t="shared" si="5"/>
        <v>2665777526.9200001</v>
      </c>
      <c r="BK20" s="287"/>
    </row>
    <row r="21" spans="1:64" ht="45.75" customHeight="1" x14ac:dyDescent="0.2">
      <c r="A21" s="297" t="s">
        <v>1999</v>
      </c>
      <c r="B21" s="349"/>
      <c r="C21" s="347">
        <f>(85764559+36000000+51862221)/2</f>
        <v>86813390</v>
      </c>
      <c r="D21" s="347">
        <f>(121325059+43026455)/2</f>
        <v>82175757</v>
      </c>
      <c r="E21" s="347">
        <f t="shared" si="11"/>
        <v>82175757</v>
      </c>
      <c r="F21" s="347">
        <f t="shared" si="11"/>
        <v>82175757</v>
      </c>
      <c r="G21" s="348">
        <v>0</v>
      </c>
      <c r="H21" s="348">
        <v>0</v>
      </c>
      <c r="I21" s="348">
        <v>0</v>
      </c>
      <c r="J21" s="348">
        <v>0</v>
      </c>
      <c r="K21" s="348">
        <v>0</v>
      </c>
      <c r="L21" s="348">
        <v>0</v>
      </c>
      <c r="M21" s="348">
        <v>0</v>
      </c>
      <c r="N21" s="348">
        <v>0</v>
      </c>
      <c r="O21" s="348">
        <v>0</v>
      </c>
      <c r="P21" s="348">
        <v>0</v>
      </c>
      <c r="Q21" s="348">
        <v>0</v>
      </c>
      <c r="R21" s="348">
        <v>0</v>
      </c>
      <c r="S21" s="348">
        <v>0</v>
      </c>
      <c r="T21" s="348">
        <v>0</v>
      </c>
      <c r="U21" s="348">
        <v>0</v>
      </c>
      <c r="V21" s="348">
        <v>0</v>
      </c>
      <c r="W21" s="348">
        <v>0</v>
      </c>
      <c r="X21" s="348">
        <v>0</v>
      </c>
      <c r="Y21" s="348">
        <v>0</v>
      </c>
      <c r="Z21" s="348">
        <v>0</v>
      </c>
      <c r="AA21" s="348">
        <v>0</v>
      </c>
      <c r="AB21" s="348">
        <v>0</v>
      </c>
      <c r="AC21" s="348">
        <v>0</v>
      </c>
      <c r="AD21" s="348">
        <v>0</v>
      </c>
      <c r="AE21" s="348">
        <v>0</v>
      </c>
      <c r="AF21" s="348">
        <v>0</v>
      </c>
      <c r="AG21" s="348">
        <v>0</v>
      </c>
      <c r="AH21" s="348">
        <v>0</v>
      </c>
      <c r="AI21" s="348">
        <v>0</v>
      </c>
      <c r="AJ21" s="348">
        <v>0</v>
      </c>
      <c r="AK21" s="348">
        <v>0</v>
      </c>
      <c r="AL21" s="348">
        <v>0</v>
      </c>
      <c r="AM21" s="348">
        <v>0</v>
      </c>
      <c r="AN21" s="348">
        <v>0</v>
      </c>
      <c r="AO21" s="348">
        <v>0</v>
      </c>
      <c r="AP21" s="348">
        <v>0</v>
      </c>
      <c r="AQ21" s="348">
        <v>0</v>
      </c>
      <c r="AR21" s="348">
        <v>0</v>
      </c>
      <c r="AS21" s="348">
        <v>0</v>
      </c>
      <c r="AT21" s="348">
        <v>0</v>
      </c>
      <c r="AU21" s="348">
        <v>0</v>
      </c>
      <c r="AV21" s="348">
        <v>0</v>
      </c>
      <c r="AW21" s="348">
        <v>0</v>
      </c>
      <c r="AX21" s="348">
        <v>0</v>
      </c>
      <c r="AY21" s="348">
        <v>0</v>
      </c>
      <c r="AZ21" s="348">
        <v>0</v>
      </c>
      <c r="BA21" s="348">
        <v>0</v>
      </c>
      <c r="BB21" s="348">
        <v>0</v>
      </c>
      <c r="BC21" s="348">
        <v>0</v>
      </c>
      <c r="BD21" s="348">
        <v>0</v>
      </c>
      <c r="BE21" s="348">
        <v>0</v>
      </c>
      <c r="BF21" s="348">
        <v>0</v>
      </c>
      <c r="BG21" s="347">
        <f t="shared" si="5"/>
        <v>86813390</v>
      </c>
      <c r="BH21" s="347">
        <f t="shared" si="5"/>
        <v>82175757</v>
      </c>
      <c r="BI21" s="347">
        <f t="shared" si="5"/>
        <v>82175757</v>
      </c>
      <c r="BJ21" s="347">
        <f t="shared" si="5"/>
        <v>82175757</v>
      </c>
      <c r="BK21" s="302">
        <f>+SUM(BG18:BG21)-B18</f>
        <v>0</v>
      </c>
    </row>
    <row r="22" spans="1:64" s="283" customFormat="1" ht="45.75" customHeight="1" x14ac:dyDescent="0.2">
      <c r="A22" s="280" t="s">
        <v>2000</v>
      </c>
      <c r="B22" s="341">
        <f>+B23+B41</f>
        <v>33503680581.980003</v>
      </c>
      <c r="C22" s="341">
        <f>+C23+C41</f>
        <v>2346482128</v>
      </c>
      <c r="D22" s="341">
        <f t="shared" ref="D22:BF22" si="12">+D23+D41</f>
        <v>2127064906</v>
      </c>
      <c r="E22" s="341">
        <f t="shared" si="12"/>
        <v>2105504509.1200001</v>
      </c>
      <c r="F22" s="341">
        <f t="shared" si="12"/>
        <v>1855103587.1199994</v>
      </c>
      <c r="G22" s="341">
        <f t="shared" si="12"/>
        <v>47483840</v>
      </c>
      <c r="H22" s="341">
        <f t="shared" si="12"/>
        <v>47483840</v>
      </c>
      <c r="I22" s="341">
        <f t="shared" si="12"/>
        <v>47483840</v>
      </c>
      <c r="J22" s="341">
        <f t="shared" si="12"/>
        <v>45422552</v>
      </c>
      <c r="K22" s="341">
        <f t="shared" si="12"/>
        <v>0</v>
      </c>
      <c r="L22" s="341">
        <f t="shared" si="12"/>
        <v>0</v>
      </c>
      <c r="M22" s="341">
        <f t="shared" si="12"/>
        <v>0</v>
      </c>
      <c r="N22" s="341">
        <f t="shared" si="12"/>
        <v>0</v>
      </c>
      <c r="O22" s="341">
        <f t="shared" si="12"/>
        <v>0</v>
      </c>
      <c r="P22" s="341">
        <f t="shared" si="12"/>
        <v>0</v>
      </c>
      <c r="Q22" s="341">
        <f t="shared" si="12"/>
        <v>0</v>
      </c>
      <c r="R22" s="341">
        <f t="shared" si="12"/>
        <v>0</v>
      </c>
      <c r="S22" s="341">
        <f t="shared" si="12"/>
        <v>557855028.44000018</v>
      </c>
      <c r="T22" s="341">
        <f t="shared" si="12"/>
        <v>529044445.43999982</v>
      </c>
      <c r="U22" s="341">
        <f t="shared" si="12"/>
        <v>529044445.43999982</v>
      </c>
      <c r="V22" s="341">
        <f t="shared" si="12"/>
        <v>529044445.43999982</v>
      </c>
      <c r="W22" s="341">
        <f t="shared" si="12"/>
        <v>29403724769.220001</v>
      </c>
      <c r="X22" s="341">
        <f t="shared" si="12"/>
        <v>29357039008.599998</v>
      </c>
      <c r="Y22" s="341">
        <f t="shared" si="12"/>
        <v>19681992123.169998</v>
      </c>
      <c r="Z22" s="341">
        <f t="shared" si="12"/>
        <v>19681992123.169998</v>
      </c>
      <c r="AA22" s="341">
        <f t="shared" si="12"/>
        <v>939999999.9999994</v>
      </c>
      <c r="AB22" s="341">
        <f t="shared" si="12"/>
        <v>186077109.99999997</v>
      </c>
      <c r="AC22" s="341">
        <f t="shared" si="12"/>
        <v>186077109.99999997</v>
      </c>
      <c r="AD22" s="341">
        <f t="shared" si="12"/>
        <v>186077109.99999997</v>
      </c>
      <c r="AE22" s="341">
        <f t="shared" si="12"/>
        <v>48000000.000000007</v>
      </c>
      <c r="AF22" s="341">
        <f t="shared" si="12"/>
        <v>34612340</v>
      </c>
      <c r="AG22" s="341">
        <f t="shared" si="12"/>
        <v>34612340</v>
      </c>
      <c r="AH22" s="341">
        <f t="shared" si="12"/>
        <v>34612340</v>
      </c>
      <c r="AI22" s="341">
        <f t="shared" si="12"/>
        <v>0</v>
      </c>
      <c r="AJ22" s="341">
        <f t="shared" si="12"/>
        <v>0</v>
      </c>
      <c r="AK22" s="341">
        <f t="shared" si="12"/>
        <v>0</v>
      </c>
      <c r="AL22" s="341">
        <f t="shared" si="12"/>
        <v>0</v>
      </c>
      <c r="AM22" s="341">
        <f t="shared" si="12"/>
        <v>0</v>
      </c>
      <c r="AN22" s="341">
        <f t="shared" si="12"/>
        <v>0</v>
      </c>
      <c r="AO22" s="341">
        <f t="shared" si="12"/>
        <v>0</v>
      </c>
      <c r="AP22" s="341">
        <f t="shared" si="12"/>
        <v>0</v>
      </c>
      <c r="AQ22" s="341">
        <f t="shared" si="12"/>
        <v>0</v>
      </c>
      <c r="AR22" s="341">
        <f t="shared" si="12"/>
        <v>0</v>
      </c>
      <c r="AS22" s="341">
        <f t="shared" si="12"/>
        <v>0</v>
      </c>
      <c r="AT22" s="341">
        <f t="shared" si="12"/>
        <v>0</v>
      </c>
      <c r="AU22" s="341">
        <f t="shared" si="12"/>
        <v>0</v>
      </c>
      <c r="AV22" s="341">
        <f t="shared" si="12"/>
        <v>0</v>
      </c>
      <c r="AW22" s="341">
        <f t="shared" si="12"/>
        <v>0</v>
      </c>
      <c r="AX22" s="341">
        <f t="shared" si="12"/>
        <v>0</v>
      </c>
      <c r="AY22" s="341">
        <f t="shared" si="12"/>
        <v>160134816.31999999</v>
      </c>
      <c r="AZ22" s="341">
        <f t="shared" si="12"/>
        <v>160000000</v>
      </c>
      <c r="BA22" s="341">
        <f t="shared" si="12"/>
        <v>160000000</v>
      </c>
      <c r="BB22" s="341">
        <f t="shared" si="12"/>
        <v>160000000</v>
      </c>
      <c r="BC22" s="341">
        <f t="shared" si="12"/>
        <v>0</v>
      </c>
      <c r="BD22" s="341">
        <f t="shared" si="12"/>
        <v>0</v>
      </c>
      <c r="BE22" s="341">
        <f t="shared" si="12"/>
        <v>0</v>
      </c>
      <c r="BF22" s="341">
        <f t="shared" si="12"/>
        <v>0</v>
      </c>
      <c r="BG22" s="341">
        <f t="shared" si="5"/>
        <v>33503680581.98</v>
      </c>
      <c r="BH22" s="341">
        <f t="shared" si="5"/>
        <v>32441321650.039997</v>
      </c>
      <c r="BI22" s="341">
        <f t="shared" si="5"/>
        <v>22744714367.729996</v>
      </c>
      <c r="BJ22" s="341">
        <f t="shared" si="5"/>
        <v>22492252157.729996</v>
      </c>
      <c r="BK22" s="282"/>
    </row>
    <row r="23" spans="1:64" ht="45.75" customHeight="1" x14ac:dyDescent="0.2">
      <c r="A23" s="284" t="s">
        <v>2001</v>
      </c>
      <c r="B23" s="342">
        <f t="shared" ref="B23:BF23" si="13">+B24+B39</f>
        <v>16701267447.76</v>
      </c>
      <c r="C23" s="342">
        <f t="shared" si="13"/>
        <v>1879818356.9999998</v>
      </c>
      <c r="D23" s="342">
        <f t="shared" si="13"/>
        <v>1661308288</v>
      </c>
      <c r="E23" s="342">
        <f t="shared" si="13"/>
        <v>1639747891.1200001</v>
      </c>
      <c r="F23" s="342">
        <f t="shared" si="13"/>
        <v>1389346969.1199994</v>
      </c>
      <c r="G23" s="342">
        <f t="shared" si="13"/>
        <v>47483840</v>
      </c>
      <c r="H23" s="342">
        <f t="shared" si="13"/>
        <v>47483840</v>
      </c>
      <c r="I23" s="342">
        <f t="shared" si="13"/>
        <v>47483840</v>
      </c>
      <c r="J23" s="342">
        <f t="shared" si="13"/>
        <v>45422552</v>
      </c>
      <c r="K23" s="342">
        <f t="shared" si="13"/>
        <v>0</v>
      </c>
      <c r="L23" s="342">
        <f t="shared" si="13"/>
        <v>0</v>
      </c>
      <c r="M23" s="342">
        <f t="shared" si="13"/>
        <v>0</v>
      </c>
      <c r="N23" s="342">
        <f t="shared" si="13"/>
        <v>0</v>
      </c>
      <c r="O23" s="342">
        <f t="shared" si="13"/>
        <v>0</v>
      </c>
      <c r="P23" s="342">
        <f t="shared" si="13"/>
        <v>0</v>
      </c>
      <c r="Q23" s="342">
        <f t="shared" si="13"/>
        <v>0</v>
      </c>
      <c r="R23" s="342">
        <f t="shared" si="13"/>
        <v>0</v>
      </c>
      <c r="S23" s="342">
        <f t="shared" si="13"/>
        <v>557855028.44000018</v>
      </c>
      <c r="T23" s="342">
        <f t="shared" si="13"/>
        <v>529044445.43999982</v>
      </c>
      <c r="U23" s="342">
        <f t="shared" si="13"/>
        <v>529044445.43999982</v>
      </c>
      <c r="V23" s="342">
        <f t="shared" si="13"/>
        <v>529044445.43999982</v>
      </c>
      <c r="W23" s="342">
        <f t="shared" si="13"/>
        <v>13115975406</v>
      </c>
      <c r="X23" s="342">
        <f t="shared" si="13"/>
        <v>13089283228.6</v>
      </c>
      <c r="Y23" s="342">
        <f t="shared" si="13"/>
        <v>10861041763.969999</v>
      </c>
      <c r="Z23" s="342">
        <f t="shared" si="13"/>
        <v>10861041763.969999</v>
      </c>
      <c r="AA23" s="342">
        <f t="shared" si="13"/>
        <v>939999999.9999994</v>
      </c>
      <c r="AB23" s="342">
        <f t="shared" si="13"/>
        <v>186077109.99999997</v>
      </c>
      <c r="AC23" s="342">
        <f t="shared" si="13"/>
        <v>186077109.99999997</v>
      </c>
      <c r="AD23" s="342">
        <f t="shared" si="13"/>
        <v>186077109.99999997</v>
      </c>
      <c r="AE23" s="342">
        <f t="shared" si="13"/>
        <v>0</v>
      </c>
      <c r="AF23" s="342">
        <f t="shared" si="13"/>
        <v>0</v>
      </c>
      <c r="AG23" s="342">
        <f t="shared" si="13"/>
        <v>0</v>
      </c>
      <c r="AH23" s="342">
        <f t="shared" si="13"/>
        <v>0</v>
      </c>
      <c r="AI23" s="342">
        <f t="shared" si="13"/>
        <v>0</v>
      </c>
      <c r="AJ23" s="342">
        <f t="shared" si="13"/>
        <v>0</v>
      </c>
      <c r="AK23" s="342">
        <f t="shared" si="13"/>
        <v>0</v>
      </c>
      <c r="AL23" s="342">
        <f t="shared" si="13"/>
        <v>0</v>
      </c>
      <c r="AM23" s="342">
        <f t="shared" si="13"/>
        <v>0</v>
      </c>
      <c r="AN23" s="342">
        <f t="shared" si="13"/>
        <v>0</v>
      </c>
      <c r="AO23" s="342">
        <f t="shared" si="13"/>
        <v>0</v>
      </c>
      <c r="AP23" s="342">
        <f t="shared" si="13"/>
        <v>0</v>
      </c>
      <c r="AQ23" s="342">
        <f t="shared" si="13"/>
        <v>0</v>
      </c>
      <c r="AR23" s="342">
        <f t="shared" si="13"/>
        <v>0</v>
      </c>
      <c r="AS23" s="342">
        <f t="shared" si="13"/>
        <v>0</v>
      </c>
      <c r="AT23" s="342">
        <f t="shared" si="13"/>
        <v>0</v>
      </c>
      <c r="AU23" s="342">
        <f t="shared" si="13"/>
        <v>0</v>
      </c>
      <c r="AV23" s="342">
        <f t="shared" si="13"/>
        <v>0</v>
      </c>
      <c r="AW23" s="342">
        <f t="shared" si="13"/>
        <v>0</v>
      </c>
      <c r="AX23" s="342">
        <f t="shared" si="13"/>
        <v>0</v>
      </c>
      <c r="AY23" s="342">
        <f t="shared" si="13"/>
        <v>160134816.31999999</v>
      </c>
      <c r="AZ23" s="342">
        <f t="shared" si="13"/>
        <v>160000000</v>
      </c>
      <c r="BA23" s="342">
        <f t="shared" si="13"/>
        <v>160000000</v>
      </c>
      <c r="BB23" s="342">
        <f t="shared" si="13"/>
        <v>160000000</v>
      </c>
      <c r="BC23" s="342">
        <f t="shared" si="13"/>
        <v>0</v>
      </c>
      <c r="BD23" s="342">
        <f t="shared" si="13"/>
        <v>0</v>
      </c>
      <c r="BE23" s="342">
        <f t="shared" si="13"/>
        <v>0</v>
      </c>
      <c r="BF23" s="342">
        <f t="shared" si="13"/>
        <v>0</v>
      </c>
      <c r="BG23" s="342">
        <f t="shared" si="5"/>
        <v>16701267447.76</v>
      </c>
      <c r="BH23" s="342">
        <f t="shared" si="5"/>
        <v>15673196912.040001</v>
      </c>
      <c r="BI23" s="342">
        <f t="shared" si="5"/>
        <v>13423395050.529999</v>
      </c>
      <c r="BJ23" s="342">
        <f t="shared" si="5"/>
        <v>13170932840.529999</v>
      </c>
      <c r="BK23" s="287"/>
    </row>
    <row r="24" spans="1:64" ht="45.75" customHeight="1" x14ac:dyDescent="0.2">
      <c r="A24" s="303" t="s">
        <v>2002</v>
      </c>
      <c r="B24" s="343">
        <f>SUM(B25:B38)</f>
        <v>16617507617.76</v>
      </c>
      <c r="C24" s="343">
        <f t="shared" ref="C24:BF24" si="14">SUM(C25:C38)</f>
        <v>1843542366.9999998</v>
      </c>
      <c r="D24" s="343">
        <f t="shared" si="14"/>
        <v>1625032298</v>
      </c>
      <c r="E24" s="343">
        <f t="shared" si="14"/>
        <v>1603471901.1200001</v>
      </c>
      <c r="F24" s="343">
        <f t="shared" si="14"/>
        <v>1353070979.1199994</v>
      </c>
      <c r="G24" s="343">
        <f t="shared" si="14"/>
        <v>0</v>
      </c>
      <c r="H24" s="343">
        <f t="shared" si="14"/>
        <v>0</v>
      </c>
      <c r="I24" s="343">
        <f t="shared" si="14"/>
        <v>0</v>
      </c>
      <c r="J24" s="343">
        <f t="shared" si="14"/>
        <v>0</v>
      </c>
      <c r="K24" s="343">
        <f t="shared" si="14"/>
        <v>0</v>
      </c>
      <c r="L24" s="343">
        <f t="shared" si="14"/>
        <v>0</v>
      </c>
      <c r="M24" s="343">
        <f t="shared" si="14"/>
        <v>0</v>
      </c>
      <c r="N24" s="343">
        <f t="shared" si="14"/>
        <v>0</v>
      </c>
      <c r="O24" s="343">
        <f t="shared" si="14"/>
        <v>0</v>
      </c>
      <c r="P24" s="343">
        <f t="shared" si="14"/>
        <v>0</v>
      </c>
      <c r="Q24" s="343">
        <f t="shared" si="14"/>
        <v>0</v>
      </c>
      <c r="R24" s="343">
        <f t="shared" si="14"/>
        <v>0</v>
      </c>
      <c r="S24" s="343">
        <f t="shared" si="14"/>
        <v>557855028.44000018</v>
      </c>
      <c r="T24" s="343">
        <f t="shared" si="14"/>
        <v>529044445.43999982</v>
      </c>
      <c r="U24" s="343">
        <f t="shared" si="14"/>
        <v>529044445.43999982</v>
      </c>
      <c r="V24" s="343">
        <f t="shared" si="14"/>
        <v>529044445.43999982</v>
      </c>
      <c r="W24" s="343">
        <f t="shared" si="14"/>
        <v>13115975406</v>
      </c>
      <c r="X24" s="343">
        <f t="shared" si="14"/>
        <v>13089283228.6</v>
      </c>
      <c r="Y24" s="343">
        <f t="shared" si="14"/>
        <v>10861041763.969999</v>
      </c>
      <c r="Z24" s="343">
        <f t="shared" si="14"/>
        <v>10861041763.969999</v>
      </c>
      <c r="AA24" s="343">
        <f t="shared" si="14"/>
        <v>939999999.9999994</v>
      </c>
      <c r="AB24" s="343">
        <f t="shared" si="14"/>
        <v>186077109.99999997</v>
      </c>
      <c r="AC24" s="343">
        <f t="shared" si="14"/>
        <v>186077109.99999997</v>
      </c>
      <c r="AD24" s="343">
        <f t="shared" si="14"/>
        <v>186077109.99999997</v>
      </c>
      <c r="AE24" s="343">
        <f t="shared" si="14"/>
        <v>0</v>
      </c>
      <c r="AF24" s="343">
        <f t="shared" si="14"/>
        <v>0</v>
      </c>
      <c r="AG24" s="343">
        <f t="shared" si="14"/>
        <v>0</v>
      </c>
      <c r="AH24" s="343">
        <f t="shared" si="14"/>
        <v>0</v>
      </c>
      <c r="AI24" s="343">
        <f t="shared" si="14"/>
        <v>0</v>
      </c>
      <c r="AJ24" s="343">
        <f t="shared" si="14"/>
        <v>0</v>
      </c>
      <c r="AK24" s="343">
        <f t="shared" si="14"/>
        <v>0</v>
      </c>
      <c r="AL24" s="343">
        <f t="shared" si="14"/>
        <v>0</v>
      </c>
      <c r="AM24" s="343">
        <f t="shared" si="14"/>
        <v>0</v>
      </c>
      <c r="AN24" s="343">
        <f t="shared" si="14"/>
        <v>0</v>
      </c>
      <c r="AO24" s="343">
        <f t="shared" si="14"/>
        <v>0</v>
      </c>
      <c r="AP24" s="343">
        <f t="shared" si="14"/>
        <v>0</v>
      </c>
      <c r="AQ24" s="343">
        <f t="shared" si="14"/>
        <v>0</v>
      </c>
      <c r="AR24" s="343">
        <f t="shared" si="14"/>
        <v>0</v>
      </c>
      <c r="AS24" s="343">
        <f t="shared" si="14"/>
        <v>0</v>
      </c>
      <c r="AT24" s="343">
        <f t="shared" si="14"/>
        <v>0</v>
      </c>
      <c r="AU24" s="343">
        <f t="shared" si="14"/>
        <v>0</v>
      </c>
      <c r="AV24" s="343">
        <f t="shared" si="14"/>
        <v>0</v>
      </c>
      <c r="AW24" s="343">
        <f t="shared" si="14"/>
        <v>0</v>
      </c>
      <c r="AX24" s="343">
        <f t="shared" si="14"/>
        <v>0</v>
      </c>
      <c r="AY24" s="343">
        <f t="shared" si="14"/>
        <v>160134816.31999999</v>
      </c>
      <c r="AZ24" s="343">
        <f t="shared" si="14"/>
        <v>160000000</v>
      </c>
      <c r="BA24" s="343">
        <f t="shared" si="14"/>
        <v>160000000</v>
      </c>
      <c r="BB24" s="343">
        <f t="shared" si="14"/>
        <v>160000000</v>
      </c>
      <c r="BC24" s="343">
        <f t="shared" si="14"/>
        <v>0</v>
      </c>
      <c r="BD24" s="343">
        <f t="shared" si="14"/>
        <v>0</v>
      </c>
      <c r="BE24" s="343">
        <f t="shared" si="14"/>
        <v>0</v>
      </c>
      <c r="BF24" s="343">
        <f t="shared" si="14"/>
        <v>0</v>
      </c>
      <c r="BG24" s="343">
        <f>ROUND(+C24+G24+K24+O24+S24+W24+AA24+AE24+AI24+AM24+AQ24+AU24+AY24+BC24,0)</f>
        <v>16617507618</v>
      </c>
      <c r="BH24" s="343">
        <f>ROUND(+D24+H24+L24+P24+T24+X24+AB24+AF24+AJ24+AN24+AR24+AV24+AZ24+BD24,0)</f>
        <v>15589437082</v>
      </c>
      <c r="BI24" s="343">
        <f>ROUND(+E24+I24+M24+Q24+U24+Y24+AC24+AG24+AK24+AO24+AS24+AW24+BA24+BE24,0)</f>
        <v>13339635221</v>
      </c>
      <c r="BJ24" s="343">
        <f>ROUND(+F24+J24+N24+R24+V24+Z24+AD24+AH24+AL24+AP24+AT24+AX24+BB24+BF24,0)</f>
        <v>13089234299</v>
      </c>
      <c r="BK24" s="291">
        <f>+SUM(BG25:BG38)-BG24</f>
        <v>-0.24000358581542969</v>
      </c>
      <c r="BL24" s="292">
        <f>+BG24-B24</f>
        <v>0.23999977111816406</v>
      </c>
    </row>
    <row r="25" spans="1:64" ht="45.75" customHeight="1" x14ac:dyDescent="0.2">
      <c r="A25" s="293" t="s">
        <v>2003</v>
      </c>
      <c r="B25" s="344">
        <f>3501532211.76+9997679226+3118296180</f>
        <v>16617507617.76</v>
      </c>
      <c r="C25" s="345">
        <v>0</v>
      </c>
      <c r="D25" s="345">
        <v>0</v>
      </c>
      <c r="E25" s="345">
        <v>0</v>
      </c>
      <c r="F25" s="345">
        <v>0</v>
      </c>
      <c r="G25" s="345">
        <v>0</v>
      </c>
      <c r="H25" s="345">
        <v>0</v>
      </c>
      <c r="I25" s="345">
        <v>0</v>
      </c>
      <c r="J25" s="345">
        <v>0</v>
      </c>
      <c r="K25" s="345">
        <v>0</v>
      </c>
      <c r="L25" s="345">
        <v>0</v>
      </c>
      <c r="M25" s="345">
        <v>0</v>
      </c>
      <c r="N25" s="345">
        <v>0</v>
      </c>
      <c r="O25" s="345">
        <v>0</v>
      </c>
      <c r="P25" s="345">
        <v>0</v>
      </c>
      <c r="Q25" s="345">
        <v>0</v>
      </c>
      <c r="R25" s="345">
        <v>0</v>
      </c>
      <c r="S25" s="345">
        <v>0</v>
      </c>
      <c r="T25" s="345">
        <v>0</v>
      </c>
      <c r="U25" s="345">
        <v>0</v>
      </c>
      <c r="V25" s="345">
        <v>0</v>
      </c>
      <c r="W25" s="345">
        <v>0</v>
      </c>
      <c r="X25" s="345">
        <v>0</v>
      </c>
      <c r="Y25" s="345">
        <v>0</v>
      </c>
      <c r="Z25" s="345">
        <v>0</v>
      </c>
      <c r="AA25" s="345">
        <v>0</v>
      </c>
      <c r="AB25" s="345">
        <v>0</v>
      </c>
      <c r="AC25" s="345">
        <v>0</v>
      </c>
      <c r="AD25" s="345">
        <v>0</v>
      </c>
      <c r="AE25" s="345">
        <v>0</v>
      </c>
      <c r="AF25" s="345">
        <v>0</v>
      </c>
      <c r="AG25" s="345">
        <v>0</v>
      </c>
      <c r="AH25" s="345">
        <v>0</v>
      </c>
      <c r="AI25" s="345">
        <v>0</v>
      </c>
      <c r="AJ25" s="345">
        <v>0</v>
      </c>
      <c r="AK25" s="345">
        <v>0</v>
      </c>
      <c r="AL25" s="345">
        <v>0</v>
      </c>
      <c r="AM25" s="345">
        <v>0</v>
      </c>
      <c r="AN25" s="345">
        <v>0</v>
      </c>
      <c r="AO25" s="345">
        <v>0</v>
      </c>
      <c r="AP25" s="345">
        <v>0</v>
      </c>
      <c r="AQ25" s="345">
        <v>0</v>
      </c>
      <c r="AR25" s="345">
        <v>0</v>
      </c>
      <c r="AS25" s="345">
        <v>0</v>
      </c>
      <c r="AT25" s="345">
        <v>0</v>
      </c>
      <c r="AU25" s="345">
        <v>0</v>
      </c>
      <c r="AV25" s="345">
        <v>0</v>
      </c>
      <c r="AW25" s="345">
        <v>0</v>
      </c>
      <c r="AX25" s="345">
        <v>0</v>
      </c>
      <c r="AY25" s="345">
        <v>0</v>
      </c>
      <c r="AZ25" s="345">
        <v>0</v>
      </c>
      <c r="BA25" s="345">
        <v>0</v>
      </c>
      <c r="BB25" s="345">
        <v>0</v>
      </c>
      <c r="BC25" s="345">
        <v>0</v>
      </c>
      <c r="BD25" s="345">
        <v>0</v>
      </c>
      <c r="BE25" s="345">
        <v>0</v>
      </c>
      <c r="BF25" s="345">
        <v>0</v>
      </c>
      <c r="BG25" s="345">
        <f t="shared" si="5"/>
        <v>0</v>
      </c>
      <c r="BH25" s="345">
        <f t="shared" si="5"/>
        <v>0</v>
      </c>
      <c r="BI25" s="345">
        <f t="shared" si="5"/>
        <v>0</v>
      </c>
      <c r="BJ25" s="345">
        <f t="shared" si="5"/>
        <v>0</v>
      </c>
      <c r="BK25" s="287"/>
    </row>
    <row r="26" spans="1:64" ht="45.75" customHeight="1" x14ac:dyDescent="0.2">
      <c r="A26" s="308" t="s">
        <v>2004</v>
      </c>
      <c r="B26" s="346"/>
      <c r="C26" s="347">
        <v>409676081.55555576</v>
      </c>
      <c r="D26" s="347">
        <v>361118288.44444418</v>
      </c>
      <c r="E26" s="347">
        <v>356327089.13777786</v>
      </c>
      <c r="F26" s="347">
        <v>300682439.80444419</v>
      </c>
      <c r="G26" s="348">
        <v>0</v>
      </c>
      <c r="H26" s="348">
        <v>0</v>
      </c>
      <c r="I26" s="348">
        <v>0</v>
      </c>
      <c r="J26" s="348">
        <v>0</v>
      </c>
      <c r="K26" s="348">
        <v>0</v>
      </c>
      <c r="L26" s="348">
        <v>0</v>
      </c>
      <c r="M26" s="348">
        <v>0</v>
      </c>
      <c r="N26" s="348">
        <v>0</v>
      </c>
      <c r="O26" s="348">
        <v>0</v>
      </c>
      <c r="P26" s="348">
        <v>0</v>
      </c>
      <c r="Q26" s="348">
        <v>0</v>
      </c>
      <c r="R26" s="348">
        <v>0</v>
      </c>
      <c r="S26" s="347">
        <v>123967784.09777778</v>
      </c>
      <c r="T26" s="347">
        <v>117565432.31999999</v>
      </c>
      <c r="U26" s="347">
        <v>117565432.31999999</v>
      </c>
      <c r="V26" s="347">
        <v>117565432.31999999</v>
      </c>
      <c r="W26" s="354">
        <f>9997679226+3118296180</f>
        <v>13115975406</v>
      </c>
      <c r="X26" s="354">
        <f>9970987049.6+3118296179</f>
        <v>13089283228.6</v>
      </c>
      <c r="Y26" s="354">
        <f>9889345285.09+971696478.88</f>
        <v>10861041763.969999</v>
      </c>
      <c r="Z26" s="354">
        <f>9889345285.09+971696478.88</f>
        <v>10861041763.969999</v>
      </c>
      <c r="AA26" s="347">
        <v>208888888.88888842</v>
      </c>
      <c r="AB26" s="347">
        <v>41350468.888888843</v>
      </c>
      <c r="AC26" s="347">
        <v>41350468.888888843</v>
      </c>
      <c r="AD26" s="347">
        <v>41350468.888888843</v>
      </c>
      <c r="AE26" s="348">
        <v>0</v>
      </c>
      <c r="AF26" s="348">
        <v>0</v>
      </c>
      <c r="AG26" s="348">
        <v>0</v>
      </c>
      <c r="AH26" s="348">
        <v>0</v>
      </c>
      <c r="AI26" s="348">
        <v>0</v>
      </c>
      <c r="AJ26" s="348">
        <v>0</v>
      </c>
      <c r="AK26" s="348">
        <v>0</v>
      </c>
      <c r="AL26" s="348">
        <v>0</v>
      </c>
      <c r="AM26" s="348">
        <v>0</v>
      </c>
      <c r="AN26" s="348">
        <v>0</v>
      </c>
      <c r="AO26" s="348">
        <v>0</v>
      </c>
      <c r="AP26" s="348">
        <v>0</v>
      </c>
      <c r="AQ26" s="348">
        <v>0</v>
      </c>
      <c r="AR26" s="348">
        <v>0</v>
      </c>
      <c r="AS26" s="348">
        <v>0</v>
      </c>
      <c r="AT26" s="348">
        <v>0</v>
      </c>
      <c r="AU26" s="348">
        <v>0</v>
      </c>
      <c r="AV26" s="348">
        <v>0</v>
      </c>
      <c r="AW26" s="348">
        <v>0</v>
      </c>
      <c r="AX26" s="348">
        <v>0</v>
      </c>
      <c r="AY26" s="347">
        <v>35585514.737777784</v>
      </c>
      <c r="AZ26" s="347">
        <v>35555555.555555575</v>
      </c>
      <c r="BA26" s="347">
        <v>35555555.555555575</v>
      </c>
      <c r="BB26" s="347">
        <v>35555555.555555575</v>
      </c>
      <c r="BC26" s="348">
        <v>0</v>
      </c>
      <c r="BD26" s="348">
        <v>0</v>
      </c>
      <c r="BE26" s="348">
        <v>0</v>
      </c>
      <c r="BF26" s="348">
        <v>0</v>
      </c>
      <c r="BG26" s="347">
        <f t="shared" si="5"/>
        <v>13894093675.280001</v>
      </c>
      <c r="BH26" s="347">
        <f t="shared" si="5"/>
        <v>13644872973.808889</v>
      </c>
      <c r="BI26" s="347">
        <f t="shared" si="5"/>
        <v>11411840309.872221</v>
      </c>
      <c r="BJ26" s="347">
        <f t="shared" si="5"/>
        <v>11356195660.538889</v>
      </c>
      <c r="BK26" s="287"/>
    </row>
    <row r="27" spans="1:64" ht="45.75" customHeight="1" x14ac:dyDescent="0.2">
      <c r="A27" s="297" t="s">
        <v>2005</v>
      </c>
      <c r="B27" s="346"/>
      <c r="C27" s="347">
        <v>204838040.77777776</v>
      </c>
      <c r="D27" s="347">
        <v>180559144.22222221</v>
      </c>
      <c r="E27" s="347">
        <v>178163544.56888887</v>
      </c>
      <c r="F27" s="347">
        <v>150341219.90222219</v>
      </c>
      <c r="G27" s="348">
        <v>0</v>
      </c>
      <c r="H27" s="348">
        <v>0</v>
      </c>
      <c r="I27" s="348">
        <v>0</v>
      </c>
      <c r="J27" s="348">
        <v>0</v>
      </c>
      <c r="K27" s="348">
        <v>0</v>
      </c>
      <c r="L27" s="348">
        <v>0</v>
      </c>
      <c r="M27" s="348">
        <v>0</v>
      </c>
      <c r="N27" s="348">
        <v>0</v>
      </c>
      <c r="O27" s="348">
        <v>0</v>
      </c>
      <c r="P27" s="348">
        <v>0</v>
      </c>
      <c r="Q27" s="348">
        <v>0</v>
      </c>
      <c r="R27" s="348">
        <v>0</v>
      </c>
      <c r="S27" s="347">
        <v>61983892.048888892</v>
      </c>
      <c r="T27" s="347">
        <v>58782716.159999996</v>
      </c>
      <c r="U27" s="347">
        <v>58782716.159999996</v>
      </c>
      <c r="V27" s="347">
        <v>58782716.159999996</v>
      </c>
      <c r="W27" s="348">
        <v>0</v>
      </c>
      <c r="X27" s="348">
        <v>0</v>
      </c>
      <c r="Y27" s="348">
        <v>0</v>
      </c>
      <c r="Z27" s="348">
        <v>0</v>
      </c>
      <c r="AA27" s="347">
        <v>104444444.44444443</v>
      </c>
      <c r="AB27" s="347">
        <v>20675234.444444444</v>
      </c>
      <c r="AC27" s="347">
        <v>20675234.444444444</v>
      </c>
      <c r="AD27" s="347">
        <v>20675234.444444444</v>
      </c>
      <c r="AE27" s="348">
        <v>0</v>
      </c>
      <c r="AF27" s="348">
        <v>0</v>
      </c>
      <c r="AG27" s="348">
        <v>0</v>
      </c>
      <c r="AH27" s="348">
        <v>0</v>
      </c>
      <c r="AI27" s="348">
        <v>0</v>
      </c>
      <c r="AJ27" s="348">
        <v>0</v>
      </c>
      <c r="AK27" s="348">
        <v>0</v>
      </c>
      <c r="AL27" s="348">
        <v>0</v>
      </c>
      <c r="AM27" s="348">
        <v>0</v>
      </c>
      <c r="AN27" s="348">
        <v>0</v>
      </c>
      <c r="AO27" s="348">
        <v>0</v>
      </c>
      <c r="AP27" s="348">
        <v>0</v>
      </c>
      <c r="AQ27" s="348">
        <v>0</v>
      </c>
      <c r="AR27" s="348">
        <v>0</v>
      </c>
      <c r="AS27" s="348">
        <v>0</v>
      </c>
      <c r="AT27" s="348">
        <v>0</v>
      </c>
      <c r="AU27" s="348">
        <v>0</v>
      </c>
      <c r="AV27" s="348">
        <v>0</v>
      </c>
      <c r="AW27" s="348">
        <v>0</v>
      </c>
      <c r="AX27" s="348">
        <v>0</v>
      </c>
      <c r="AY27" s="347">
        <v>17792757.368888889</v>
      </c>
      <c r="AZ27" s="347">
        <v>17777777.777777776</v>
      </c>
      <c r="BA27" s="347">
        <v>17777777.777777776</v>
      </c>
      <c r="BB27" s="347">
        <v>17777777.777777776</v>
      </c>
      <c r="BC27" s="348">
        <v>0</v>
      </c>
      <c r="BD27" s="348">
        <v>0</v>
      </c>
      <c r="BE27" s="348">
        <v>0</v>
      </c>
      <c r="BF27" s="348">
        <v>0</v>
      </c>
      <c r="BG27" s="347">
        <f t="shared" si="5"/>
        <v>389059134.63999999</v>
      </c>
      <c r="BH27" s="347">
        <f t="shared" si="5"/>
        <v>277794872.60444444</v>
      </c>
      <c r="BI27" s="347">
        <f t="shared" si="5"/>
        <v>275399272.95111108</v>
      </c>
      <c r="BJ27" s="347">
        <f t="shared" si="5"/>
        <v>247576948.28444439</v>
      </c>
      <c r="BK27" s="287"/>
    </row>
    <row r="28" spans="1:64" ht="45.75" customHeight="1" x14ac:dyDescent="0.2">
      <c r="A28" s="293" t="s">
        <v>2006</v>
      </c>
      <c r="B28" s="346"/>
      <c r="C28" s="345">
        <v>0</v>
      </c>
      <c r="D28" s="345">
        <v>0</v>
      </c>
      <c r="E28" s="345">
        <v>0</v>
      </c>
      <c r="F28" s="345">
        <v>0</v>
      </c>
      <c r="G28" s="345">
        <v>0</v>
      </c>
      <c r="H28" s="345">
        <v>0</v>
      </c>
      <c r="I28" s="345">
        <v>0</v>
      </c>
      <c r="J28" s="345">
        <v>0</v>
      </c>
      <c r="K28" s="345">
        <v>0</v>
      </c>
      <c r="L28" s="345">
        <v>0</v>
      </c>
      <c r="M28" s="345">
        <v>0</v>
      </c>
      <c r="N28" s="345">
        <v>0</v>
      </c>
      <c r="O28" s="345">
        <v>0</v>
      </c>
      <c r="P28" s="345">
        <v>0</v>
      </c>
      <c r="Q28" s="345">
        <v>0</v>
      </c>
      <c r="R28" s="345">
        <v>0</v>
      </c>
      <c r="S28" s="345">
        <v>0</v>
      </c>
      <c r="T28" s="345">
        <v>0</v>
      </c>
      <c r="U28" s="345">
        <v>0</v>
      </c>
      <c r="V28" s="345">
        <v>0</v>
      </c>
      <c r="W28" s="345">
        <v>0</v>
      </c>
      <c r="X28" s="345">
        <v>0</v>
      </c>
      <c r="Y28" s="345">
        <v>0</v>
      </c>
      <c r="Z28" s="345">
        <v>0</v>
      </c>
      <c r="AA28" s="345">
        <v>0</v>
      </c>
      <c r="AB28" s="345">
        <v>0</v>
      </c>
      <c r="AC28" s="345">
        <v>0</v>
      </c>
      <c r="AD28" s="345">
        <v>0</v>
      </c>
      <c r="AE28" s="345">
        <v>0</v>
      </c>
      <c r="AF28" s="345">
        <v>0</v>
      </c>
      <c r="AG28" s="345">
        <v>0</v>
      </c>
      <c r="AH28" s="345">
        <v>0</v>
      </c>
      <c r="AI28" s="345">
        <v>0</v>
      </c>
      <c r="AJ28" s="345">
        <v>0</v>
      </c>
      <c r="AK28" s="345">
        <v>0</v>
      </c>
      <c r="AL28" s="345">
        <v>0</v>
      </c>
      <c r="AM28" s="345">
        <v>0</v>
      </c>
      <c r="AN28" s="345">
        <v>0</v>
      </c>
      <c r="AO28" s="345">
        <v>0</v>
      </c>
      <c r="AP28" s="345">
        <v>0</v>
      </c>
      <c r="AQ28" s="345">
        <v>0</v>
      </c>
      <c r="AR28" s="345">
        <v>0</v>
      </c>
      <c r="AS28" s="345">
        <v>0</v>
      </c>
      <c r="AT28" s="345">
        <v>0</v>
      </c>
      <c r="AU28" s="345">
        <v>0</v>
      </c>
      <c r="AV28" s="345">
        <v>0</v>
      </c>
      <c r="AW28" s="345">
        <v>0</v>
      </c>
      <c r="AX28" s="345">
        <v>0</v>
      </c>
      <c r="AY28" s="345">
        <v>0</v>
      </c>
      <c r="AZ28" s="345">
        <v>0</v>
      </c>
      <c r="BA28" s="345">
        <v>0</v>
      </c>
      <c r="BB28" s="345">
        <v>0</v>
      </c>
      <c r="BC28" s="345">
        <v>0</v>
      </c>
      <c r="BD28" s="345">
        <v>0</v>
      </c>
      <c r="BE28" s="345">
        <v>0</v>
      </c>
      <c r="BF28" s="345">
        <v>0</v>
      </c>
      <c r="BG28" s="345">
        <f t="shared" si="5"/>
        <v>0</v>
      </c>
      <c r="BH28" s="345">
        <f t="shared" si="5"/>
        <v>0</v>
      </c>
      <c r="BI28" s="345">
        <f t="shared" si="5"/>
        <v>0</v>
      </c>
      <c r="BJ28" s="345">
        <f t="shared" si="5"/>
        <v>0</v>
      </c>
      <c r="BK28" s="287"/>
    </row>
    <row r="29" spans="1:64" ht="45.75" customHeight="1" x14ac:dyDescent="0.2">
      <c r="A29" s="293" t="s">
        <v>2007</v>
      </c>
      <c r="B29" s="346"/>
      <c r="C29" s="345">
        <v>0</v>
      </c>
      <c r="D29" s="345">
        <v>0</v>
      </c>
      <c r="E29" s="345">
        <v>0</v>
      </c>
      <c r="F29" s="345">
        <v>0</v>
      </c>
      <c r="G29" s="345">
        <v>0</v>
      </c>
      <c r="H29" s="345">
        <v>0</v>
      </c>
      <c r="I29" s="345">
        <v>0</v>
      </c>
      <c r="J29" s="345">
        <v>0</v>
      </c>
      <c r="K29" s="345">
        <v>0</v>
      </c>
      <c r="L29" s="345">
        <v>0</v>
      </c>
      <c r="M29" s="345">
        <v>0</v>
      </c>
      <c r="N29" s="345">
        <v>0</v>
      </c>
      <c r="O29" s="345">
        <v>0</v>
      </c>
      <c r="P29" s="345">
        <v>0</v>
      </c>
      <c r="Q29" s="345">
        <v>0</v>
      </c>
      <c r="R29" s="345">
        <v>0</v>
      </c>
      <c r="S29" s="345">
        <v>0</v>
      </c>
      <c r="T29" s="345">
        <v>0</v>
      </c>
      <c r="U29" s="345">
        <v>0</v>
      </c>
      <c r="V29" s="345">
        <v>0</v>
      </c>
      <c r="W29" s="345">
        <v>0</v>
      </c>
      <c r="X29" s="345">
        <v>0</v>
      </c>
      <c r="Y29" s="345">
        <v>0</v>
      </c>
      <c r="Z29" s="345">
        <v>0</v>
      </c>
      <c r="AA29" s="345">
        <v>0</v>
      </c>
      <c r="AB29" s="345">
        <v>0</v>
      </c>
      <c r="AC29" s="345">
        <v>0</v>
      </c>
      <c r="AD29" s="345">
        <v>0</v>
      </c>
      <c r="AE29" s="345">
        <v>0</v>
      </c>
      <c r="AF29" s="345">
        <v>0</v>
      </c>
      <c r="AG29" s="345">
        <v>0</v>
      </c>
      <c r="AH29" s="345">
        <v>0</v>
      </c>
      <c r="AI29" s="345">
        <v>0</v>
      </c>
      <c r="AJ29" s="345">
        <v>0</v>
      </c>
      <c r="AK29" s="345">
        <v>0</v>
      </c>
      <c r="AL29" s="345">
        <v>0</v>
      </c>
      <c r="AM29" s="345">
        <v>0</v>
      </c>
      <c r="AN29" s="345">
        <v>0</v>
      </c>
      <c r="AO29" s="345">
        <v>0</v>
      </c>
      <c r="AP29" s="345">
        <v>0</v>
      </c>
      <c r="AQ29" s="345">
        <v>0</v>
      </c>
      <c r="AR29" s="345">
        <v>0</v>
      </c>
      <c r="AS29" s="345">
        <v>0</v>
      </c>
      <c r="AT29" s="345">
        <v>0</v>
      </c>
      <c r="AU29" s="345">
        <v>0</v>
      </c>
      <c r="AV29" s="345">
        <v>0</v>
      </c>
      <c r="AW29" s="345">
        <v>0</v>
      </c>
      <c r="AX29" s="345">
        <v>0</v>
      </c>
      <c r="AY29" s="345">
        <v>0</v>
      </c>
      <c r="AZ29" s="345">
        <v>0</v>
      </c>
      <c r="BA29" s="345">
        <v>0</v>
      </c>
      <c r="BB29" s="345">
        <v>0</v>
      </c>
      <c r="BC29" s="345">
        <v>0</v>
      </c>
      <c r="BD29" s="345">
        <v>0</v>
      </c>
      <c r="BE29" s="345">
        <v>0</v>
      </c>
      <c r="BF29" s="345">
        <v>0</v>
      </c>
      <c r="BG29" s="345">
        <f t="shared" si="5"/>
        <v>0</v>
      </c>
      <c r="BH29" s="345">
        <f t="shared" si="5"/>
        <v>0</v>
      </c>
      <c r="BI29" s="345">
        <f t="shared" si="5"/>
        <v>0</v>
      </c>
      <c r="BJ29" s="345">
        <f t="shared" si="5"/>
        <v>0</v>
      </c>
      <c r="BK29" s="287"/>
    </row>
    <row r="30" spans="1:64" ht="45.75" customHeight="1" x14ac:dyDescent="0.2">
      <c r="A30" s="293" t="s">
        <v>2008</v>
      </c>
      <c r="B30" s="346"/>
      <c r="C30" s="345">
        <v>0</v>
      </c>
      <c r="D30" s="345">
        <v>0</v>
      </c>
      <c r="E30" s="345">
        <v>0</v>
      </c>
      <c r="F30" s="345">
        <v>0</v>
      </c>
      <c r="G30" s="345">
        <v>0</v>
      </c>
      <c r="H30" s="345">
        <v>0</v>
      </c>
      <c r="I30" s="345">
        <v>0</v>
      </c>
      <c r="J30" s="345">
        <v>0</v>
      </c>
      <c r="K30" s="345">
        <v>0</v>
      </c>
      <c r="L30" s="345">
        <v>0</v>
      </c>
      <c r="M30" s="345">
        <v>0</v>
      </c>
      <c r="N30" s="345">
        <v>0</v>
      </c>
      <c r="O30" s="345">
        <v>0</v>
      </c>
      <c r="P30" s="345">
        <v>0</v>
      </c>
      <c r="Q30" s="345">
        <v>0</v>
      </c>
      <c r="R30" s="345">
        <v>0</v>
      </c>
      <c r="S30" s="345">
        <v>0</v>
      </c>
      <c r="T30" s="345">
        <v>0</v>
      </c>
      <c r="U30" s="345">
        <v>0</v>
      </c>
      <c r="V30" s="345">
        <v>0</v>
      </c>
      <c r="W30" s="345">
        <v>0</v>
      </c>
      <c r="X30" s="345">
        <v>0</v>
      </c>
      <c r="Y30" s="345">
        <v>0</v>
      </c>
      <c r="Z30" s="345">
        <v>0</v>
      </c>
      <c r="AA30" s="345">
        <v>0</v>
      </c>
      <c r="AB30" s="345">
        <v>0</v>
      </c>
      <c r="AC30" s="345">
        <v>0</v>
      </c>
      <c r="AD30" s="345">
        <v>0</v>
      </c>
      <c r="AE30" s="345">
        <v>0</v>
      </c>
      <c r="AF30" s="345">
        <v>0</v>
      </c>
      <c r="AG30" s="345">
        <v>0</v>
      </c>
      <c r="AH30" s="345">
        <v>0</v>
      </c>
      <c r="AI30" s="345">
        <v>0</v>
      </c>
      <c r="AJ30" s="345">
        <v>0</v>
      </c>
      <c r="AK30" s="345">
        <v>0</v>
      </c>
      <c r="AL30" s="345">
        <v>0</v>
      </c>
      <c r="AM30" s="345">
        <v>0</v>
      </c>
      <c r="AN30" s="345">
        <v>0</v>
      </c>
      <c r="AO30" s="345">
        <v>0</v>
      </c>
      <c r="AP30" s="345">
        <v>0</v>
      </c>
      <c r="AQ30" s="345">
        <v>0</v>
      </c>
      <c r="AR30" s="345">
        <v>0</v>
      </c>
      <c r="AS30" s="345">
        <v>0</v>
      </c>
      <c r="AT30" s="345">
        <v>0</v>
      </c>
      <c r="AU30" s="345">
        <v>0</v>
      </c>
      <c r="AV30" s="345">
        <v>0</v>
      </c>
      <c r="AW30" s="345">
        <v>0</v>
      </c>
      <c r="AX30" s="345">
        <v>0</v>
      </c>
      <c r="AY30" s="345">
        <v>0</v>
      </c>
      <c r="AZ30" s="345">
        <v>0</v>
      </c>
      <c r="BA30" s="345">
        <v>0</v>
      </c>
      <c r="BB30" s="345">
        <v>0</v>
      </c>
      <c r="BC30" s="345">
        <v>0</v>
      </c>
      <c r="BD30" s="345">
        <v>0</v>
      </c>
      <c r="BE30" s="345">
        <v>0</v>
      </c>
      <c r="BF30" s="345">
        <v>0</v>
      </c>
      <c r="BG30" s="345">
        <f t="shared" si="5"/>
        <v>0</v>
      </c>
      <c r="BH30" s="345">
        <f t="shared" si="5"/>
        <v>0</v>
      </c>
      <c r="BI30" s="345">
        <f t="shared" si="5"/>
        <v>0</v>
      </c>
      <c r="BJ30" s="345">
        <f t="shared" si="5"/>
        <v>0</v>
      </c>
      <c r="BK30" s="287"/>
    </row>
    <row r="31" spans="1:64" ht="45.75" customHeight="1" x14ac:dyDescent="0.2">
      <c r="A31" s="297" t="s">
        <v>2009</v>
      </c>
      <c r="B31" s="346"/>
      <c r="C31" s="347">
        <v>204838040.77777776</v>
      </c>
      <c r="D31" s="347">
        <v>180559144.22222221</v>
      </c>
      <c r="E31" s="347">
        <v>178163544.56888887</v>
      </c>
      <c r="F31" s="347">
        <v>150341219.90222219</v>
      </c>
      <c r="G31" s="348">
        <v>0</v>
      </c>
      <c r="H31" s="348">
        <v>0</v>
      </c>
      <c r="I31" s="348">
        <v>0</v>
      </c>
      <c r="J31" s="348">
        <v>0</v>
      </c>
      <c r="K31" s="348">
        <v>0</v>
      </c>
      <c r="L31" s="348">
        <v>0</v>
      </c>
      <c r="M31" s="348">
        <v>0</v>
      </c>
      <c r="N31" s="348">
        <v>0</v>
      </c>
      <c r="O31" s="348">
        <v>0</v>
      </c>
      <c r="P31" s="348">
        <v>0</v>
      </c>
      <c r="Q31" s="348">
        <v>0</v>
      </c>
      <c r="R31" s="348">
        <v>0</v>
      </c>
      <c r="S31" s="347">
        <v>61983892.048888892</v>
      </c>
      <c r="T31" s="347">
        <v>58782716.159999996</v>
      </c>
      <c r="U31" s="347">
        <v>58782716.159999996</v>
      </c>
      <c r="V31" s="347">
        <v>58782716.159999996</v>
      </c>
      <c r="W31" s="348">
        <v>0</v>
      </c>
      <c r="X31" s="348">
        <v>0</v>
      </c>
      <c r="Y31" s="348">
        <v>0</v>
      </c>
      <c r="Z31" s="348">
        <v>0</v>
      </c>
      <c r="AA31" s="347">
        <v>104444444.44444443</v>
      </c>
      <c r="AB31" s="347">
        <v>20675234.444444444</v>
      </c>
      <c r="AC31" s="347">
        <v>20675234.444444444</v>
      </c>
      <c r="AD31" s="347">
        <v>20675234.444444444</v>
      </c>
      <c r="AE31" s="348">
        <v>0</v>
      </c>
      <c r="AF31" s="348">
        <v>0</v>
      </c>
      <c r="AG31" s="348">
        <v>0</v>
      </c>
      <c r="AH31" s="348">
        <v>0</v>
      </c>
      <c r="AI31" s="348">
        <v>0</v>
      </c>
      <c r="AJ31" s="348">
        <v>0</v>
      </c>
      <c r="AK31" s="348">
        <v>0</v>
      </c>
      <c r="AL31" s="348">
        <v>0</v>
      </c>
      <c r="AM31" s="348">
        <v>0</v>
      </c>
      <c r="AN31" s="348">
        <v>0</v>
      </c>
      <c r="AO31" s="348">
        <v>0</v>
      </c>
      <c r="AP31" s="348">
        <v>0</v>
      </c>
      <c r="AQ31" s="348">
        <v>0</v>
      </c>
      <c r="AR31" s="348">
        <v>0</v>
      </c>
      <c r="AS31" s="348">
        <v>0</v>
      </c>
      <c r="AT31" s="348">
        <v>0</v>
      </c>
      <c r="AU31" s="348">
        <v>0</v>
      </c>
      <c r="AV31" s="348">
        <v>0</v>
      </c>
      <c r="AW31" s="348">
        <v>0</v>
      </c>
      <c r="AX31" s="348">
        <v>0</v>
      </c>
      <c r="AY31" s="347">
        <v>17792757.368888889</v>
      </c>
      <c r="AZ31" s="347">
        <v>17777777.777777776</v>
      </c>
      <c r="BA31" s="347">
        <v>17777777.777777776</v>
      </c>
      <c r="BB31" s="347">
        <v>17777777.777777776</v>
      </c>
      <c r="BC31" s="348">
        <v>0</v>
      </c>
      <c r="BD31" s="348">
        <v>0</v>
      </c>
      <c r="BE31" s="348">
        <v>0</v>
      </c>
      <c r="BF31" s="348">
        <v>0</v>
      </c>
      <c r="BG31" s="347">
        <f t="shared" si="5"/>
        <v>389059134.63999999</v>
      </c>
      <c r="BH31" s="347">
        <f t="shared" si="5"/>
        <v>277794872.60444444</v>
      </c>
      <c r="BI31" s="347">
        <f t="shared" si="5"/>
        <v>275399272.95111108</v>
      </c>
      <c r="BJ31" s="347">
        <f t="shared" si="5"/>
        <v>247576948.28444439</v>
      </c>
      <c r="BK31" s="287"/>
    </row>
    <row r="32" spans="1:64" ht="45.75" customHeight="1" x14ac:dyDescent="0.2">
      <c r="A32" s="293" t="s">
        <v>2010</v>
      </c>
      <c r="B32" s="346"/>
      <c r="C32" s="345">
        <v>0</v>
      </c>
      <c r="D32" s="345">
        <v>0</v>
      </c>
      <c r="E32" s="345">
        <v>0</v>
      </c>
      <c r="F32" s="345">
        <v>0</v>
      </c>
      <c r="G32" s="345">
        <v>0</v>
      </c>
      <c r="H32" s="345">
        <v>0</v>
      </c>
      <c r="I32" s="345">
        <v>0</v>
      </c>
      <c r="J32" s="345">
        <v>0</v>
      </c>
      <c r="K32" s="345">
        <v>0</v>
      </c>
      <c r="L32" s="345">
        <v>0</v>
      </c>
      <c r="M32" s="345">
        <v>0</v>
      </c>
      <c r="N32" s="345">
        <v>0</v>
      </c>
      <c r="O32" s="345">
        <v>0</v>
      </c>
      <c r="P32" s="345">
        <v>0</v>
      </c>
      <c r="Q32" s="345">
        <v>0</v>
      </c>
      <c r="R32" s="345">
        <v>0</v>
      </c>
      <c r="S32" s="345">
        <v>0</v>
      </c>
      <c r="T32" s="345">
        <v>0</v>
      </c>
      <c r="U32" s="345">
        <v>0</v>
      </c>
      <c r="V32" s="345">
        <v>0</v>
      </c>
      <c r="W32" s="345">
        <v>0</v>
      </c>
      <c r="X32" s="345">
        <v>0</v>
      </c>
      <c r="Y32" s="345">
        <v>0</v>
      </c>
      <c r="Z32" s="345">
        <v>0</v>
      </c>
      <c r="AA32" s="345">
        <v>0</v>
      </c>
      <c r="AB32" s="345">
        <v>0</v>
      </c>
      <c r="AC32" s="345">
        <v>0</v>
      </c>
      <c r="AD32" s="345">
        <v>0</v>
      </c>
      <c r="AE32" s="345">
        <v>0</v>
      </c>
      <c r="AF32" s="345">
        <v>0</v>
      </c>
      <c r="AG32" s="345">
        <v>0</v>
      </c>
      <c r="AH32" s="345">
        <v>0</v>
      </c>
      <c r="AI32" s="345">
        <v>0</v>
      </c>
      <c r="AJ32" s="345">
        <v>0</v>
      </c>
      <c r="AK32" s="345">
        <v>0</v>
      </c>
      <c r="AL32" s="345">
        <v>0</v>
      </c>
      <c r="AM32" s="345">
        <v>0</v>
      </c>
      <c r="AN32" s="345">
        <v>0</v>
      </c>
      <c r="AO32" s="345">
        <v>0</v>
      </c>
      <c r="AP32" s="345">
        <v>0</v>
      </c>
      <c r="AQ32" s="345">
        <v>0</v>
      </c>
      <c r="AR32" s="345">
        <v>0</v>
      </c>
      <c r="AS32" s="345">
        <v>0</v>
      </c>
      <c r="AT32" s="345">
        <v>0</v>
      </c>
      <c r="AU32" s="345">
        <v>0</v>
      </c>
      <c r="AV32" s="345">
        <v>0</v>
      </c>
      <c r="AW32" s="345">
        <v>0</v>
      </c>
      <c r="AX32" s="345">
        <v>0</v>
      </c>
      <c r="AY32" s="345">
        <v>0</v>
      </c>
      <c r="AZ32" s="345">
        <v>0</v>
      </c>
      <c r="BA32" s="345">
        <v>0</v>
      </c>
      <c r="BB32" s="345">
        <v>0</v>
      </c>
      <c r="BC32" s="345">
        <v>0</v>
      </c>
      <c r="BD32" s="345">
        <v>0</v>
      </c>
      <c r="BE32" s="345">
        <v>0</v>
      </c>
      <c r="BF32" s="345">
        <v>0</v>
      </c>
      <c r="BG32" s="345">
        <f t="shared" si="5"/>
        <v>0</v>
      </c>
      <c r="BH32" s="345">
        <f t="shared" si="5"/>
        <v>0</v>
      </c>
      <c r="BI32" s="345">
        <f t="shared" si="5"/>
        <v>0</v>
      </c>
      <c r="BJ32" s="345">
        <f t="shared" si="5"/>
        <v>0</v>
      </c>
      <c r="BK32" s="287"/>
    </row>
    <row r="33" spans="1:64" ht="45.75" customHeight="1" x14ac:dyDescent="0.2">
      <c r="A33" s="293" t="s">
        <v>2011</v>
      </c>
      <c r="B33" s="346"/>
      <c r="C33" s="345">
        <v>0</v>
      </c>
      <c r="D33" s="345">
        <v>0</v>
      </c>
      <c r="E33" s="345">
        <v>0</v>
      </c>
      <c r="F33" s="345">
        <v>0</v>
      </c>
      <c r="G33" s="345">
        <v>0</v>
      </c>
      <c r="H33" s="345">
        <v>0</v>
      </c>
      <c r="I33" s="345">
        <v>0</v>
      </c>
      <c r="J33" s="345">
        <v>0</v>
      </c>
      <c r="K33" s="345">
        <v>0</v>
      </c>
      <c r="L33" s="345">
        <v>0</v>
      </c>
      <c r="M33" s="345">
        <v>0</v>
      </c>
      <c r="N33" s="345">
        <v>0</v>
      </c>
      <c r="O33" s="345">
        <v>0</v>
      </c>
      <c r="P33" s="345">
        <v>0</v>
      </c>
      <c r="Q33" s="345">
        <v>0</v>
      </c>
      <c r="R33" s="345">
        <v>0</v>
      </c>
      <c r="S33" s="345">
        <v>0</v>
      </c>
      <c r="T33" s="345">
        <v>0</v>
      </c>
      <c r="U33" s="345">
        <v>0</v>
      </c>
      <c r="V33" s="345">
        <v>0</v>
      </c>
      <c r="W33" s="345">
        <v>0</v>
      </c>
      <c r="X33" s="345">
        <v>0</v>
      </c>
      <c r="Y33" s="345">
        <v>0</v>
      </c>
      <c r="Z33" s="345">
        <v>0</v>
      </c>
      <c r="AA33" s="345">
        <v>0</v>
      </c>
      <c r="AB33" s="345">
        <v>0</v>
      </c>
      <c r="AC33" s="345">
        <v>0</v>
      </c>
      <c r="AD33" s="345">
        <v>0</v>
      </c>
      <c r="AE33" s="345">
        <v>0</v>
      </c>
      <c r="AF33" s="345">
        <v>0</v>
      </c>
      <c r="AG33" s="345">
        <v>0</v>
      </c>
      <c r="AH33" s="345">
        <v>0</v>
      </c>
      <c r="AI33" s="345">
        <v>0</v>
      </c>
      <c r="AJ33" s="345">
        <v>0</v>
      </c>
      <c r="AK33" s="345">
        <v>0</v>
      </c>
      <c r="AL33" s="345">
        <v>0</v>
      </c>
      <c r="AM33" s="345">
        <v>0</v>
      </c>
      <c r="AN33" s="345">
        <v>0</v>
      </c>
      <c r="AO33" s="345">
        <v>0</v>
      </c>
      <c r="AP33" s="345">
        <v>0</v>
      </c>
      <c r="AQ33" s="345">
        <v>0</v>
      </c>
      <c r="AR33" s="345">
        <v>0</v>
      </c>
      <c r="AS33" s="345">
        <v>0</v>
      </c>
      <c r="AT33" s="345">
        <v>0</v>
      </c>
      <c r="AU33" s="345">
        <v>0</v>
      </c>
      <c r="AV33" s="345">
        <v>0</v>
      </c>
      <c r="AW33" s="345">
        <v>0</v>
      </c>
      <c r="AX33" s="345">
        <v>0</v>
      </c>
      <c r="AY33" s="345">
        <v>0</v>
      </c>
      <c r="AZ33" s="345">
        <v>0</v>
      </c>
      <c r="BA33" s="345">
        <v>0</v>
      </c>
      <c r="BB33" s="345">
        <v>0</v>
      </c>
      <c r="BC33" s="345">
        <v>0</v>
      </c>
      <c r="BD33" s="345">
        <v>0</v>
      </c>
      <c r="BE33" s="345">
        <v>0</v>
      </c>
      <c r="BF33" s="345">
        <v>0</v>
      </c>
      <c r="BG33" s="345">
        <f t="shared" si="5"/>
        <v>0</v>
      </c>
      <c r="BH33" s="345">
        <f t="shared" si="5"/>
        <v>0</v>
      </c>
      <c r="BI33" s="345">
        <f t="shared" si="5"/>
        <v>0</v>
      </c>
      <c r="BJ33" s="345">
        <f t="shared" si="5"/>
        <v>0</v>
      </c>
      <c r="BK33" s="287"/>
    </row>
    <row r="34" spans="1:64" ht="45.75" customHeight="1" x14ac:dyDescent="0.2">
      <c r="A34" s="297" t="s">
        <v>2012</v>
      </c>
      <c r="B34" s="346"/>
      <c r="C34" s="347">
        <v>204838040.77777776</v>
      </c>
      <c r="D34" s="347">
        <v>180559144.22222221</v>
      </c>
      <c r="E34" s="347">
        <v>178163544.56888887</v>
      </c>
      <c r="F34" s="347">
        <v>150341219.90222219</v>
      </c>
      <c r="G34" s="348">
        <v>0</v>
      </c>
      <c r="H34" s="348">
        <v>0</v>
      </c>
      <c r="I34" s="348">
        <v>0</v>
      </c>
      <c r="J34" s="348">
        <v>0</v>
      </c>
      <c r="K34" s="348">
        <v>0</v>
      </c>
      <c r="L34" s="348">
        <v>0</v>
      </c>
      <c r="M34" s="348">
        <v>0</v>
      </c>
      <c r="N34" s="348">
        <v>0</v>
      </c>
      <c r="O34" s="348">
        <v>0</v>
      </c>
      <c r="P34" s="348">
        <v>0</v>
      </c>
      <c r="Q34" s="348">
        <v>0</v>
      </c>
      <c r="R34" s="348">
        <v>0</v>
      </c>
      <c r="S34" s="347">
        <v>61983892.048888892</v>
      </c>
      <c r="T34" s="347">
        <v>58782716.159999996</v>
      </c>
      <c r="U34" s="347">
        <v>58782716.159999996</v>
      </c>
      <c r="V34" s="347">
        <v>58782716.159999996</v>
      </c>
      <c r="W34" s="348">
        <v>0</v>
      </c>
      <c r="X34" s="348">
        <v>0</v>
      </c>
      <c r="Y34" s="348">
        <v>0</v>
      </c>
      <c r="Z34" s="348">
        <v>0</v>
      </c>
      <c r="AA34" s="347">
        <v>104444444.44444443</v>
      </c>
      <c r="AB34" s="347">
        <v>20675234.444444444</v>
      </c>
      <c r="AC34" s="347">
        <v>20675234.444444444</v>
      </c>
      <c r="AD34" s="347">
        <v>20675234.444444444</v>
      </c>
      <c r="AE34" s="348">
        <v>0</v>
      </c>
      <c r="AF34" s="348">
        <v>0</v>
      </c>
      <c r="AG34" s="348">
        <v>0</v>
      </c>
      <c r="AH34" s="348">
        <v>0</v>
      </c>
      <c r="AI34" s="348">
        <v>0</v>
      </c>
      <c r="AJ34" s="348">
        <v>0</v>
      </c>
      <c r="AK34" s="348">
        <v>0</v>
      </c>
      <c r="AL34" s="348">
        <v>0</v>
      </c>
      <c r="AM34" s="348">
        <v>0</v>
      </c>
      <c r="AN34" s="348">
        <v>0</v>
      </c>
      <c r="AO34" s="348">
        <v>0</v>
      </c>
      <c r="AP34" s="348">
        <v>0</v>
      </c>
      <c r="AQ34" s="348">
        <v>0</v>
      </c>
      <c r="AR34" s="348">
        <v>0</v>
      </c>
      <c r="AS34" s="348">
        <v>0</v>
      </c>
      <c r="AT34" s="348">
        <v>0</v>
      </c>
      <c r="AU34" s="348">
        <v>0</v>
      </c>
      <c r="AV34" s="348">
        <v>0</v>
      </c>
      <c r="AW34" s="348">
        <v>0</v>
      </c>
      <c r="AX34" s="348">
        <v>0</v>
      </c>
      <c r="AY34" s="347">
        <v>17792757.368888889</v>
      </c>
      <c r="AZ34" s="347">
        <v>17777777.777777776</v>
      </c>
      <c r="BA34" s="347">
        <v>17777777.777777776</v>
      </c>
      <c r="BB34" s="347">
        <v>17777777.777777776</v>
      </c>
      <c r="BC34" s="348">
        <v>0</v>
      </c>
      <c r="BD34" s="348">
        <v>0</v>
      </c>
      <c r="BE34" s="348">
        <v>0</v>
      </c>
      <c r="BF34" s="348">
        <v>0</v>
      </c>
      <c r="BG34" s="347">
        <f t="shared" si="5"/>
        <v>389059134.63999999</v>
      </c>
      <c r="BH34" s="347">
        <f t="shared" si="5"/>
        <v>277794872.60444444</v>
      </c>
      <c r="BI34" s="347">
        <f t="shared" si="5"/>
        <v>275399272.95111108</v>
      </c>
      <c r="BJ34" s="347">
        <f t="shared" si="5"/>
        <v>247576948.28444439</v>
      </c>
      <c r="BK34" s="287"/>
    </row>
    <row r="35" spans="1:64" ht="45.75" customHeight="1" x14ac:dyDescent="0.2">
      <c r="A35" s="297" t="s">
        <v>2013</v>
      </c>
      <c r="B35" s="346"/>
      <c r="C35" s="347">
        <v>204838040.77777776</v>
      </c>
      <c r="D35" s="347">
        <v>180559144.22222221</v>
      </c>
      <c r="E35" s="347">
        <v>178163544.56888887</v>
      </c>
      <c r="F35" s="347">
        <v>150341219.90222219</v>
      </c>
      <c r="G35" s="348">
        <v>0</v>
      </c>
      <c r="H35" s="348">
        <v>0</v>
      </c>
      <c r="I35" s="348">
        <v>0</v>
      </c>
      <c r="J35" s="348">
        <v>0</v>
      </c>
      <c r="K35" s="348">
        <v>0</v>
      </c>
      <c r="L35" s="348">
        <v>0</v>
      </c>
      <c r="M35" s="348">
        <v>0</v>
      </c>
      <c r="N35" s="348">
        <v>0</v>
      </c>
      <c r="O35" s="348">
        <v>0</v>
      </c>
      <c r="P35" s="348">
        <v>0</v>
      </c>
      <c r="Q35" s="348">
        <v>0</v>
      </c>
      <c r="R35" s="348">
        <v>0</v>
      </c>
      <c r="S35" s="347">
        <v>61983892.048888892</v>
      </c>
      <c r="T35" s="347">
        <v>58782716.159999996</v>
      </c>
      <c r="U35" s="347">
        <v>58782716.159999996</v>
      </c>
      <c r="V35" s="347">
        <v>58782716.159999996</v>
      </c>
      <c r="W35" s="348">
        <v>0</v>
      </c>
      <c r="X35" s="348">
        <v>0</v>
      </c>
      <c r="Y35" s="348">
        <v>0</v>
      </c>
      <c r="Z35" s="348">
        <v>0</v>
      </c>
      <c r="AA35" s="347">
        <v>104444444.44444443</v>
      </c>
      <c r="AB35" s="347">
        <v>20675234.444444444</v>
      </c>
      <c r="AC35" s="347">
        <v>20675234.444444444</v>
      </c>
      <c r="AD35" s="347">
        <v>20675234.444444444</v>
      </c>
      <c r="AE35" s="348">
        <v>0</v>
      </c>
      <c r="AF35" s="348">
        <v>0</v>
      </c>
      <c r="AG35" s="348">
        <v>0</v>
      </c>
      <c r="AH35" s="348">
        <v>0</v>
      </c>
      <c r="AI35" s="348">
        <v>0</v>
      </c>
      <c r="AJ35" s="348">
        <v>0</v>
      </c>
      <c r="AK35" s="348">
        <v>0</v>
      </c>
      <c r="AL35" s="348">
        <v>0</v>
      </c>
      <c r="AM35" s="348">
        <v>0</v>
      </c>
      <c r="AN35" s="348">
        <v>0</v>
      </c>
      <c r="AO35" s="348">
        <v>0</v>
      </c>
      <c r="AP35" s="348">
        <v>0</v>
      </c>
      <c r="AQ35" s="348">
        <v>0</v>
      </c>
      <c r="AR35" s="348">
        <v>0</v>
      </c>
      <c r="AS35" s="348">
        <v>0</v>
      </c>
      <c r="AT35" s="348">
        <v>0</v>
      </c>
      <c r="AU35" s="348">
        <v>0</v>
      </c>
      <c r="AV35" s="348">
        <v>0</v>
      </c>
      <c r="AW35" s="348">
        <v>0</v>
      </c>
      <c r="AX35" s="348">
        <v>0</v>
      </c>
      <c r="AY35" s="347">
        <v>17792757.368888889</v>
      </c>
      <c r="AZ35" s="347">
        <v>17777777.777777776</v>
      </c>
      <c r="BA35" s="347">
        <v>17777777.777777776</v>
      </c>
      <c r="BB35" s="347">
        <v>17777777.777777776</v>
      </c>
      <c r="BC35" s="348">
        <v>0</v>
      </c>
      <c r="BD35" s="348">
        <v>0</v>
      </c>
      <c r="BE35" s="348">
        <v>0</v>
      </c>
      <c r="BF35" s="348">
        <v>0</v>
      </c>
      <c r="BG35" s="347">
        <f t="shared" si="5"/>
        <v>389059134.63999999</v>
      </c>
      <c r="BH35" s="347">
        <f t="shared" si="5"/>
        <v>277794872.60444444</v>
      </c>
      <c r="BI35" s="347">
        <f t="shared" si="5"/>
        <v>275399272.95111108</v>
      </c>
      <c r="BJ35" s="347">
        <f t="shared" si="5"/>
        <v>247576948.28444439</v>
      </c>
      <c r="BK35" s="287"/>
    </row>
    <row r="36" spans="1:64" ht="45.75" customHeight="1" x14ac:dyDescent="0.2">
      <c r="A36" s="297" t="s">
        <v>2014</v>
      </c>
      <c r="B36" s="346"/>
      <c r="C36" s="347">
        <v>204838040.77777776</v>
      </c>
      <c r="D36" s="347">
        <v>180559144.22222221</v>
      </c>
      <c r="E36" s="347">
        <v>178163544.56888887</v>
      </c>
      <c r="F36" s="347">
        <v>150341219.90222219</v>
      </c>
      <c r="G36" s="348">
        <v>0</v>
      </c>
      <c r="H36" s="348">
        <v>0</v>
      </c>
      <c r="I36" s="348">
        <v>0</v>
      </c>
      <c r="J36" s="348">
        <v>0</v>
      </c>
      <c r="K36" s="348">
        <v>0</v>
      </c>
      <c r="L36" s="348">
        <v>0</v>
      </c>
      <c r="M36" s="348">
        <v>0</v>
      </c>
      <c r="N36" s="348">
        <v>0</v>
      </c>
      <c r="O36" s="348">
        <v>0</v>
      </c>
      <c r="P36" s="348">
        <v>0</v>
      </c>
      <c r="Q36" s="348">
        <v>0</v>
      </c>
      <c r="R36" s="348">
        <v>0</v>
      </c>
      <c r="S36" s="347">
        <v>61983892.048888892</v>
      </c>
      <c r="T36" s="347">
        <v>58782716.159999996</v>
      </c>
      <c r="U36" s="347">
        <v>58782716.159999996</v>
      </c>
      <c r="V36" s="347">
        <v>58782716.159999996</v>
      </c>
      <c r="W36" s="348">
        <v>0</v>
      </c>
      <c r="X36" s="348">
        <v>0</v>
      </c>
      <c r="Y36" s="348">
        <v>0</v>
      </c>
      <c r="Z36" s="348">
        <v>0</v>
      </c>
      <c r="AA36" s="347">
        <v>104444444.44444443</v>
      </c>
      <c r="AB36" s="347">
        <v>20675234.444444444</v>
      </c>
      <c r="AC36" s="347">
        <v>20675234.444444444</v>
      </c>
      <c r="AD36" s="347">
        <v>20675234.444444444</v>
      </c>
      <c r="AE36" s="348">
        <v>0</v>
      </c>
      <c r="AF36" s="348">
        <v>0</v>
      </c>
      <c r="AG36" s="348">
        <v>0</v>
      </c>
      <c r="AH36" s="348">
        <v>0</v>
      </c>
      <c r="AI36" s="348">
        <v>0</v>
      </c>
      <c r="AJ36" s="348">
        <v>0</v>
      </c>
      <c r="AK36" s="348">
        <v>0</v>
      </c>
      <c r="AL36" s="348">
        <v>0</v>
      </c>
      <c r="AM36" s="348">
        <v>0</v>
      </c>
      <c r="AN36" s="348">
        <v>0</v>
      </c>
      <c r="AO36" s="348">
        <v>0</v>
      </c>
      <c r="AP36" s="348">
        <v>0</v>
      </c>
      <c r="AQ36" s="348">
        <v>0</v>
      </c>
      <c r="AR36" s="348">
        <v>0</v>
      </c>
      <c r="AS36" s="348">
        <v>0</v>
      </c>
      <c r="AT36" s="348">
        <v>0</v>
      </c>
      <c r="AU36" s="348">
        <v>0</v>
      </c>
      <c r="AV36" s="348">
        <v>0</v>
      </c>
      <c r="AW36" s="348">
        <v>0</v>
      </c>
      <c r="AX36" s="348">
        <v>0</v>
      </c>
      <c r="AY36" s="347">
        <v>17792757.368888889</v>
      </c>
      <c r="AZ36" s="347">
        <v>17777777.777777776</v>
      </c>
      <c r="BA36" s="347">
        <v>17777777.777777776</v>
      </c>
      <c r="BB36" s="347">
        <v>17777777.777777776</v>
      </c>
      <c r="BC36" s="348">
        <v>0</v>
      </c>
      <c r="BD36" s="348">
        <v>0</v>
      </c>
      <c r="BE36" s="348">
        <v>0</v>
      </c>
      <c r="BF36" s="348">
        <v>0</v>
      </c>
      <c r="BG36" s="347">
        <f t="shared" si="5"/>
        <v>389059134.63999999</v>
      </c>
      <c r="BH36" s="347">
        <f t="shared" si="5"/>
        <v>277794872.60444444</v>
      </c>
      <c r="BI36" s="347">
        <f t="shared" si="5"/>
        <v>275399272.95111108</v>
      </c>
      <c r="BJ36" s="347">
        <f t="shared" si="5"/>
        <v>247576948.28444439</v>
      </c>
      <c r="BK36" s="287"/>
    </row>
    <row r="37" spans="1:64" ht="45.75" customHeight="1" x14ac:dyDescent="0.2">
      <c r="A37" s="297" t="s">
        <v>2015</v>
      </c>
      <c r="B37" s="346"/>
      <c r="C37" s="347">
        <v>204838040.77777776</v>
      </c>
      <c r="D37" s="347">
        <v>180559144.22222221</v>
      </c>
      <c r="E37" s="347">
        <v>178163544.56888887</v>
      </c>
      <c r="F37" s="347">
        <v>150341219.90222219</v>
      </c>
      <c r="G37" s="348">
        <v>0</v>
      </c>
      <c r="H37" s="348">
        <v>0</v>
      </c>
      <c r="I37" s="348">
        <v>0</v>
      </c>
      <c r="J37" s="348">
        <v>0</v>
      </c>
      <c r="K37" s="348">
        <v>0</v>
      </c>
      <c r="L37" s="348">
        <v>0</v>
      </c>
      <c r="M37" s="348">
        <v>0</v>
      </c>
      <c r="N37" s="348">
        <v>0</v>
      </c>
      <c r="O37" s="348">
        <v>0</v>
      </c>
      <c r="P37" s="348">
        <v>0</v>
      </c>
      <c r="Q37" s="348">
        <v>0</v>
      </c>
      <c r="R37" s="348">
        <v>0</v>
      </c>
      <c r="S37" s="347">
        <v>61983892.048888892</v>
      </c>
      <c r="T37" s="347">
        <v>58782716.159999996</v>
      </c>
      <c r="U37" s="347">
        <v>58782716.159999996</v>
      </c>
      <c r="V37" s="347">
        <v>58782716.159999996</v>
      </c>
      <c r="W37" s="348">
        <v>0</v>
      </c>
      <c r="X37" s="348">
        <v>0</v>
      </c>
      <c r="Y37" s="348">
        <v>0</v>
      </c>
      <c r="Z37" s="348">
        <v>0</v>
      </c>
      <c r="AA37" s="347">
        <v>104444444.44444443</v>
      </c>
      <c r="AB37" s="347">
        <v>20675234.444444444</v>
      </c>
      <c r="AC37" s="347">
        <v>20675234.444444444</v>
      </c>
      <c r="AD37" s="347">
        <v>20675234.444444444</v>
      </c>
      <c r="AE37" s="348">
        <v>0</v>
      </c>
      <c r="AF37" s="348">
        <v>0</v>
      </c>
      <c r="AG37" s="348">
        <v>0</v>
      </c>
      <c r="AH37" s="348">
        <v>0</v>
      </c>
      <c r="AI37" s="348">
        <v>0</v>
      </c>
      <c r="AJ37" s="348">
        <v>0</v>
      </c>
      <c r="AK37" s="348">
        <v>0</v>
      </c>
      <c r="AL37" s="348">
        <v>0</v>
      </c>
      <c r="AM37" s="348">
        <v>0</v>
      </c>
      <c r="AN37" s="348">
        <v>0</v>
      </c>
      <c r="AO37" s="348">
        <v>0</v>
      </c>
      <c r="AP37" s="348">
        <v>0</v>
      </c>
      <c r="AQ37" s="348">
        <v>0</v>
      </c>
      <c r="AR37" s="348">
        <v>0</v>
      </c>
      <c r="AS37" s="348">
        <v>0</v>
      </c>
      <c r="AT37" s="348">
        <v>0</v>
      </c>
      <c r="AU37" s="348">
        <v>0</v>
      </c>
      <c r="AV37" s="348">
        <v>0</v>
      </c>
      <c r="AW37" s="348">
        <v>0</v>
      </c>
      <c r="AX37" s="348">
        <v>0</v>
      </c>
      <c r="AY37" s="347">
        <v>17792757.368888889</v>
      </c>
      <c r="AZ37" s="347">
        <v>17777777.777777776</v>
      </c>
      <c r="BA37" s="347">
        <v>17777777.777777776</v>
      </c>
      <c r="BB37" s="347">
        <v>17777777.777777776</v>
      </c>
      <c r="BC37" s="348">
        <v>0</v>
      </c>
      <c r="BD37" s="348">
        <v>0</v>
      </c>
      <c r="BE37" s="348">
        <v>0</v>
      </c>
      <c r="BF37" s="348">
        <v>0</v>
      </c>
      <c r="BG37" s="347">
        <f t="shared" si="5"/>
        <v>389059134.63999999</v>
      </c>
      <c r="BH37" s="347">
        <f t="shared" si="5"/>
        <v>277794872.60444444</v>
      </c>
      <c r="BI37" s="347">
        <f t="shared" si="5"/>
        <v>275399272.95111108</v>
      </c>
      <c r="BJ37" s="347">
        <f t="shared" si="5"/>
        <v>247576948.28444439</v>
      </c>
      <c r="BK37" s="287"/>
    </row>
    <row r="38" spans="1:64" ht="45.75" customHeight="1" x14ac:dyDescent="0.2">
      <c r="A38" s="297" t="s">
        <v>2016</v>
      </c>
      <c r="B38" s="349"/>
      <c r="C38" s="347">
        <v>204838040.77777776</v>
      </c>
      <c r="D38" s="347">
        <v>180559144.22222221</v>
      </c>
      <c r="E38" s="347">
        <v>178163544.56888887</v>
      </c>
      <c r="F38" s="347">
        <v>150341219.90222219</v>
      </c>
      <c r="G38" s="348">
        <v>0</v>
      </c>
      <c r="H38" s="348">
        <v>0</v>
      </c>
      <c r="I38" s="348">
        <v>0</v>
      </c>
      <c r="J38" s="348">
        <v>0</v>
      </c>
      <c r="K38" s="348">
        <v>0</v>
      </c>
      <c r="L38" s="348">
        <v>0</v>
      </c>
      <c r="M38" s="348">
        <v>0</v>
      </c>
      <c r="N38" s="348">
        <v>0</v>
      </c>
      <c r="O38" s="348">
        <v>0</v>
      </c>
      <c r="P38" s="348">
        <v>0</v>
      </c>
      <c r="Q38" s="348">
        <v>0</v>
      </c>
      <c r="R38" s="348">
        <v>0</v>
      </c>
      <c r="S38" s="347">
        <v>61983892.048888892</v>
      </c>
      <c r="T38" s="347">
        <v>58782716.159999996</v>
      </c>
      <c r="U38" s="347">
        <v>58782716.159999996</v>
      </c>
      <c r="V38" s="347">
        <v>58782716.159999996</v>
      </c>
      <c r="W38" s="348">
        <v>0</v>
      </c>
      <c r="X38" s="348">
        <v>0</v>
      </c>
      <c r="Y38" s="348">
        <v>0</v>
      </c>
      <c r="Z38" s="348">
        <v>0</v>
      </c>
      <c r="AA38" s="347">
        <v>104444444.44444443</v>
      </c>
      <c r="AB38" s="347">
        <v>20675234.444444444</v>
      </c>
      <c r="AC38" s="347">
        <v>20675234.444444444</v>
      </c>
      <c r="AD38" s="347">
        <v>20675234.444444444</v>
      </c>
      <c r="AE38" s="348">
        <v>0</v>
      </c>
      <c r="AF38" s="348">
        <v>0</v>
      </c>
      <c r="AG38" s="348">
        <v>0</v>
      </c>
      <c r="AH38" s="348">
        <v>0</v>
      </c>
      <c r="AI38" s="348">
        <v>0</v>
      </c>
      <c r="AJ38" s="348">
        <v>0</v>
      </c>
      <c r="AK38" s="348">
        <v>0</v>
      </c>
      <c r="AL38" s="348">
        <v>0</v>
      </c>
      <c r="AM38" s="348">
        <v>0</v>
      </c>
      <c r="AN38" s="348">
        <v>0</v>
      </c>
      <c r="AO38" s="348">
        <v>0</v>
      </c>
      <c r="AP38" s="348">
        <v>0</v>
      </c>
      <c r="AQ38" s="348">
        <v>0</v>
      </c>
      <c r="AR38" s="348">
        <v>0</v>
      </c>
      <c r="AS38" s="348">
        <v>0</v>
      </c>
      <c r="AT38" s="348">
        <v>0</v>
      </c>
      <c r="AU38" s="348">
        <v>0</v>
      </c>
      <c r="AV38" s="348">
        <v>0</v>
      </c>
      <c r="AW38" s="348">
        <v>0</v>
      </c>
      <c r="AX38" s="348">
        <v>0</v>
      </c>
      <c r="AY38" s="347">
        <v>17792757.368888889</v>
      </c>
      <c r="AZ38" s="347">
        <v>17777777.777777776</v>
      </c>
      <c r="BA38" s="347">
        <v>17777777.777777776</v>
      </c>
      <c r="BB38" s="347">
        <v>17777777.777777776</v>
      </c>
      <c r="BC38" s="348">
        <v>0</v>
      </c>
      <c r="BD38" s="348">
        <v>0</v>
      </c>
      <c r="BE38" s="348">
        <v>0</v>
      </c>
      <c r="BF38" s="348">
        <v>0</v>
      </c>
      <c r="BG38" s="347">
        <f t="shared" si="5"/>
        <v>389059134.63999999</v>
      </c>
      <c r="BH38" s="347">
        <f t="shared" si="5"/>
        <v>277794872.60444444</v>
      </c>
      <c r="BI38" s="347">
        <f t="shared" si="5"/>
        <v>275399272.95111108</v>
      </c>
      <c r="BJ38" s="347">
        <f t="shared" si="5"/>
        <v>247576948.28444439</v>
      </c>
      <c r="BK38" s="302">
        <f>+SUM(BG25:BG38)-B25</f>
        <v>0</v>
      </c>
    </row>
    <row r="39" spans="1:64" ht="45.75" customHeight="1" x14ac:dyDescent="0.2">
      <c r="A39" s="303" t="s">
        <v>2017</v>
      </c>
      <c r="B39" s="343">
        <f t="shared" ref="B39:AD39" si="15">SUM(B40:B40)</f>
        <v>83759830</v>
      </c>
      <c r="C39" s="343">
        <f t="shared" si="15"/>
        <v>36275990</v>
      </c>
      <c r="D39" s="343">
        <f t="shared" si="15"/>
        <v>36275990</v>
      </c>
      <c r="E39" s="343">
        <f t="shared" si="15"/>
        <v>36275990</v>
      </c>
      <c r="F39" s="343">
        <f t="shared" si="15"/>
        <v>36275990</v>
      </c>
      <c r="G39" s="343">
        <f t="shared" si="15"/>
        <v>47483840</v>
      </c>
      <c r="H39" s="343">
        <f>SUM(H40:H40)</f>
        <v>47483840</v>
      </c>
      <c r="I39" s="343">
        <f>SUM(I40:I40)</f>
        <v>47483840</v>
      </c>
      <c r="J39" s="343">
        <f t="shared" si="15"/>
        <v>45422552</v>
      </c>
      <c r="K39" s="343">
        <f t="shared" si="15"/>
        <v>0</v>
      </c>
      <c r="L39" s="343">
        <f t="shared" si="15"/>
        <v>0</v>
      </c>
      <c r="M39" s="343">
        <f t="shared" si="15"/>
        <v>0</v>
      </c>
      <c r="N39" s="343">
        <f t="shared" si="15"/>
        <v>0</v>
      </c>
      <c r="O39" s="343">
        <f t="shared" si="15"/>
        <v>0</v>
      </c>
      <c r="P39" s="343">
        <f t="shared" si="15"/>
        <v>0</v>
      </c>
      <c r="Q39" s="343">
        <f t="shared" si="15"/>
        <v>0</v>
      </c>
      <c r="R39" s="343">
        <f t="shared" si="15"/>
        <v>0</v>
      </c>
      <c r="S39" s="343">
        <f t="shared" si="15"/>
        <v>0</v>
      </c>
      <c r="T39" s="343">
        <f t="shared" si="15"/>
        <v>0</v>
      </c>
      <c r="U39" s="343">
        <f t="shared" si="15"/>
        <v>0</v>
      </c>
      <c r="V39" s="343">
        <f t="shared" si="15"/>
        <v>0</v>
      </c>
      <c r="W39" s="343">
        <f t="shared" si="15"/>
        <v>0</v>
      </c>
      <c r="X39" s="343">
        <f t="shared" si="15"/>
        <v>0</v>
      </c>
      <c r="Y39" s="343">
        <f t="shared" si="15"/>
        <v>0</v>
      </c>
      <c r="Z39" s="343">
        <f t="shared" si="15"/>
        <v>0</v>
      </c>
      <c r="AA39" s="343">
        <f t="shared" si="15"/>
        <v>0</v>
      </c>
      <c r="AB39" s="343">
        <f t="shared" si="15"/>
        <v>0</v>
      </c>
      <c r="AC39" s="343">
        <f t="shared" si="15"/>
        <v>0</v>
      </c>
      <c r="AD39" s="343">
        <f t="shared" si="15"/>
        <v>0</v>
      </c>
      <c r="AE39" s="343">
        <f t="shared" ref="AE39:BF39" si="16">SUM(AE40:AE40)</f>
        <v>0</v>
      </c>
      <c r="AF39" s="343">
        <f t="shared" si="16"/>
        <v>0</v>
      </c>
      <c r="AG39" s="343">
        <f t="shared" si="16"/>
        <v>0</v>
      </c>
      <c r="AH39" s="343">
        <f t="shared" si="16"/>
        <v>0</v>
      </c>
      <c r="AI39" s="343">
        <f t="shared" si="16"/>
        <v>0</v>
      </c>
      <c r="AJ39" s="343">
        <f t="shared" si="16"/>
        <v>0</v>
      </c>
      <c r="AK39" s="343">
        <f t="shared" si="16"/>
        <v>0</v>
      </c>
      <c r="AL39" s="343">
        <f t="shared" si="16"/>
        <v>0</v>
      </c>
      <c r="AM39" s="343">
        <f t="shared" si="16"/>
        <v>0</v>
      </c>
      <c r="AN39" s="343">
        <f t="shared" si="16"/>
        <v>0</v>
      </c>
      <c r="AO39" s="343">
        <f t="shared" si="16"/>
        <v>0</v>
      </c>
      <c r="AP39" s="343">
        <f t="shared" si="16"/>
        <v>0</v>
      </c>
      <c r="AQ39" s="343">
        <f t="shared" si="16"/>
        <v>0</v>
      </c>
      <c r="AR39" s="343">
        <f t="shared" si="16"/>
        <v>0</v>
      </c>
      <c r="AS39" s="343">
        <f t="shared" si="16"/>
        <v>0</v>
      </c>
      <c r="AT39" s="343">
        <f t="shared" si="16"/>
        <v>0</v>
      </c>
      <c r="AU39" s="343">
        <f t="shared" si="16"/>
        <v>0</v>
      </c>
      <c r="AV39" s="343">
        <f t="shared" si="16"/>
        <v>0</v>
      </c>
      <c r="AW39" s="343">
        <f t="shared" si="16"/>
        <v>0</v>
      </c>
      <c r="AX39" s="343">
        <f t="shared" si="16"/>
        <v>0</v>
      </c>
      <c r="AY39" s="343">
        <f t="shared" si="16"/>
        <v>0</v>
      </c>
      <c r="AZ39" s="343">
        <f t="shared" si="16"/>
        <v>0</v>
      </c>
      <c r="BA39" s="343">
        <f t="shared" si="16"/>
        <v>0</v>
      </c>
      <c r="BB39" s="343">
        <f t="shared" si="16"/>
        <v>0</v>
      </c>
      <c r="BC39" s="343">
        <f t="shared" si="16"/>
        <v>0</v>
      </c>
      <c r="BD39" s="343">
        <f t="shared" si="16"/>
        <v>0</v>
      </c>
      <c r="BE39" s="343">
        <f t="shared" si="16"/>
        <v>0</v>
      </c>
      <c r="BF39" s="343">
        <f t="shared" si="16"/>
        <v>0</v>
      </c>
      <c r="BG39" s="343">
        <f>ROUND(+C39+G39+K39+O39+S39+W39+AA39+AE39+AI39+AM39+AQ39+AU39+AY39+BC39,0)</f>
        <v>83759830</v>
      </c>
      <c r="BH39" s="343">
        <f>ROUND(+D39+H39+L39+P39+T39+X39+AB39+AF39+AJ39+AN39+AR39+AV39+AZ39+BD39,0)</f>
        <v>83759830</v>
      </c>
      <c r="BI39" s="343">
        <f>ROUND(+E39+I39+M39+Q39+U39+Y39+AC39+AG39+AK39+AO39+AS39+AW39+BA39+BE39,0)</f>
        <v>83759830</v>
      </c>
      <c r="BJ39" s="343">
        <f>ROUND(+F39+J39+N39+R39+V39+Z39+AD39+AH39+AL39+AP39+AT39+AX39+BB39+BF39,0)</f>
        <v>81698542</v>
      </c>
      <c r="BK39" s="291">
        <f>+SUM(BG40)-BG39</f>
        <v>0</v>
      </c>
      <c r="BL39" s="292">
        <f>+BG39-B39</f>
        <v>0</v>
      </c>
    </row>
    <row r="40" spans="1:64" ht="45.75" customHeight="1" x14ac:dyDescent="0.2">
      <c r="A40" s="297" t="s">
        <v>2018</v>
      </c>
      <c r="B40" s="347">
        <f>400956958+290000000-607197128</f>
        <v>83759830</v>
      </c>
      <c r="C40" s="347">
        <f>+SUM([4]INFORME_PCT!$F$75,[4]INFORME_PCT!$F$77,[4]INFORME_PCT!$F$79)</f>
        <v>36275990</v>
      </c>
      <c r="D40" s="347">
        <f>+SUM([4]INFORME_PCT!$H$75,[4]INFORME_PCT!$H$77,[4]INFORME_PCT!$H$79)</f>
        <v>36275990</v>
      </c>
      <c r="E40" s="347">
        <f>+SUM([4]INFORME_PCT!$I$75+[4]INFORME_PCT!$I$77+[4]INFORME_PCT!$I$79)</f>
        <v>36275990</v>
      </c>
      <c r="F40" s="347">
        <f>+SUM([4]INFORME_PCT!$J$75,[4]INFORME_PCT!$J$77,[4]INFORME_PCT!$J$79)</f>
        <v>36275990</v>
      </c>
      <c r="G40" s="347">
        <f>+SUM([4]INFORME_PCT!$F$76,[4]INFORME_PCT!$F$78,[4]INFORME_PCT!$F$80)</f>
        <v>47483840</v>
      </c>
      <c r="H40" s="347">
        <f>+SUM([4]INFORME_PCT!$H$76,[4]INFORME_PCT!$H$78,[4]INFORME_PCT!$H$80)</f>
        <v>47483840</v>
      </c>
      <c r="I40" s="347">
        <f>+SUM([4]INFORME_PCT!$I$76,[4]INFORME_PCT!$I$78,[4]INFORME_PCT!$I$80)</f>
        <v>47483840</v>
      </c>
      <c r="J40" s="347">
        <f>+SUM([4]INFORME_PCT!$J$76,[4]INFORME_PCT!$J$78,[4]INFORME_PCT!$J$80)</f>
        <v>45422552</v>
      </c>
      <c r="K40" s="348">
        <v>0</v>
      </c>
      <c r="L40" s="348">
        <v>0</v>
      </c>
      <c r="M40" s="348">
        <v>0</v>
      </c>
      <c r="N40" s="348">
        <v>0</v>
      </c>
      <c r="O40" s="348">
        <v>0</v>
      </c>
      <c r="P40" s="348">
        <v>0</v>
      </c>
      <c r="Q40" s="348">
        <v>0</v>
      </c>
      <c r="R40" s="348">
        <v>0</v>
      </c>
      <c r="S40" s="348">
        <v>0</v>
      </c>
      <c r="T40" s="348">
        <v>0</v>
      </c>
      <c r="U40" s="348">
        <v>0</v>
      </c>
      <c r="V40" s="348">
        <v>0</v>
      </c>
      <c r="W40" s="348">
        <v>0</v>
      </c>
      <c r="X40" s="348">
        <v>0</v>
      </c>
      <c r="Y40" s="348">
        <v>0</v>
      </c>
      <c r="Z40" s="348">
        <v>0</v>
      </c>
      <c r="AA40" s="348">
        <v>0</v>
      </c>
      <c r="AB40" s="348">
        <v>0</v>
      </c>
      <c r="AC40" s="348">
        <v>0</v>
      </c>
      <c r="AD40" s="348">
        <v>0</v>
      </c>
      <c r="AE40" s="348">
        <v>0</v>
      </c>
      <c r="AF40" s="348">
        <v>0</v>
      </c>
      <c r="AG40" s="348">
        <v>0</v>
      </c>
      <c r="AH40" s="348">
        <v>0</v>
      </c>
      <c r="AI40" s="348">
        <v>0</v>
      </c>
      <c r="AJ40" s="348">
        <v>0</v>
      </c>
      <c r="AK40" s="348">
        <v>0</v>
      </c>
      <c r="AL40" s="348">
        <v>0</v>
      </c>
      <c r="AM40" s="348">
        <v>0</v>
      </c>
      <c r="AN40" s="348">
        <v>0</v>
      </c>
      <c r="AO40" s="348">
        <v>0</v>
      </c>
      <c r="AP40" s="348">
        <v>0</v>
      </c>
      <c r="AQ40" s="348">
        <v>0</v>
      </c>
      <c r="AR40" s="348">
        <v>0</v>
      </c>
      <c r="AS40" s="348">
        <v>0</v>
      </c>
      <c r="AT40" s="348">
        <v>0</v>
      </c>
      <c r="AU40" s="348">
        <v>0</v>
      </c>
      <c r="AV40" s="348">
        <v>0</v>
      </c>
      <c r="AW40" s="348">
        <v>0</v>
      </c>
      <c r="AX40" s="348">
        <v>0</v>
      </c>
      <c r="AY40" s="348">
        <v>0</v>
      </c>
      <c r="AZ40" s="348">
        <v>0</v>
      </c>
      <c r="BA40" s="348">
        <v>0</v>
      </c>
      <c r="BB40" s="348">
        <v>0</v>
      </c>
      <c r="BC40" s="348">
        <v>0</v>
      </c>
      <c r="BD40" s="348">
        <v>0</v>
      </c>
      <c r="BE40" s="348">
        <v>0</v>
      </c>
      <c r="BF40" s="348">
        <v>0</v>
      </c>
      <c r="BG40" s="347">
        <f t="shared" si="5"/>
        <v>83759830</v>
      </c>
      <c r="BH40" s="347">
        <f t="shared" si="5"/>
        <v>83759830</v>
      </c>
      <c r="BI40" s="347">
        <f t="shared" si="5"/>
        <v>83759830</v>
      </c>
      <c r="BJ40" s="347">
        <f t="shared" si="5"/>
        <v>81698542</v>
      </c>
      <c r="BK40" s="302">
        <f>+BG40-B40</f>
        <v>0</v>
      </c>
    </row>
    <row r="41" spans="1:64" ht="45.75" customHeight="1" x14ac:dyDescent="0.2">
      <c r="A41" s="284" t="s">
        <v>2019</v>
      </c>
      <c r="B41" s="342">
        <f>+B42+B47</f>
        <v>16802413134.220001</v>
      </c>
      <c r="C41" s="342">
        <f t="shared" ref="C41:BF41" si="17">+C42+C47</f>
        <v>466663771</v>
      </c>
      <c r="D41" s="342">
        <f t="shared" si="17"/>
        <v>465756618.00000006</v>
      </c>
      <c r="E41" s="342">
        <f t="shared" si="17"/>
        <v>465756618.00000006</v>
      </c>
      <c r="F41" s="342">
        <f t="shared" si="17"/>
        <v>465756618.00000006</v>
      </c>
      <c r="G41" s="342">
        <f t="shared" si="17"/>
        <v>0</v>
      </c>
      <c r="H41" s="342">
        <f t="shared" si="17"/>
        <v>0</v>
      </c>
      <c r="I41" s="342">
        <f t="shared" si="17"/>
        <v>0</v>
      </c>
      <c r="J41" s="342">
        <f t="shared" si="17"/>
        <v>0</v>
      </c>
      <c r="K41" s="342">
        <f t="shared" si="17"/>
        <v>0</v>
      </c>
      <c r="L41" s="342">
        <f t="shared" si="17"/>
        <v>0</v>
      </c>
      <c r="M41" s="342">
        <f t="shared" si="17"/>
        <v>0</v>
      </c>
      <c r="N41" s="342">
        <f t="shared" si="17"/>
        <v>0</v>
      </c>
      <c r="O41" s="342">
        <f t="shared" si="17"/>
        <v>0</v>
      </c>
      <c r="P41" s="342">
        <f t="shared" si="17"/>
        <v>0</v>
      </c>
      <c r="Q41" s="342">
        <f t="shared" si="17"/>
        <v>0</v>
      </c>
      <c r="R41" s="342">
        <f t="shared" si="17"/>
        <v>0</v>
      </c>
      <c r="S41" s="342">
        <f t="shared" si="17"/>
        <v>0</v>
      </c>
      <c r="T41" s="342">
        <f t="shared" si="17"/>
        <v>0</v>
      </c>
      <c r="U41" s="342">
        <f t="shared" si="17"/>
        <v>0</v>
      </c>
      <c r="V41" s="342">
        <f t="shared" si="17"/>
        <v>0</v>
      </c>
      <c r="W41" s="342">
        <f t="shared" si="17"/>
        <v>16287749363.220001</v>
      </c>
      <c r="X41" s="342">
        <f t="shared" si="17"/>
        <v>16267755780</v>
      </c>
      <c r="Y41" s="342">
        <f t="shared" si="17"/>
        <v>8820950359.1999989</v>
      </c>
      <c r="Z41" s="342">
        <f t="shared" si="17"/>
        <v>8820950359.1999989</v>
      </c>
      <c r="AA41" s="342">
        <f t="shared" si="17"/>
        <v>0</v>
      </c>
      <c r="AB41" s="342">
        <f t="shared" si="17"/>
        <v>0</v>
      </c>
      <c r="AC41" s="342">
        <f t="shared" si="17"/>
        <v>0</v>
      </c>
      <c r="AD41" s="342">
        <f t="shared" si="17"/>
        <v>0</v>
      </c>
      <c r="AE41" s="342">
        <f t="shared" si="17"/>
        <v>48000000.000000007</v>
      </c>
      <c r="AF41" s="342">
        <f t="shared" si="17"/>
        <v>34612340</v>
      </c>
      <c r="AG41" s="342">
        <f t="shared" si="17"/>
        <v>34612340</v>
      </c>
      <c r="AH41" s="342">
        <f t="shared" si="17"/>
        <v>34612340</v>
      </c>
      <c r="AI41" s="342">
        <f t="shared" si="17"/>
        <v>0</v>
      </c>
      <c r="AJ41" s="342">
        <f t="shared" si="17"/>
        <v>0</v>
      </c>
      <c r="AK41" s="342">
        <f t="shared" si="17"/>
        <v>0</v>
      </c>
      <c r="AL41" s="342">
        <f t="shared" si="17"/>
        <v>0</v>
      </c>
      <c r="AM41" s="342">
        <f t="shared" si="17"/>
        <v>0</v>
      </c>
      <c r="AN41" s="342">
        <f t="shared" si="17"/>
        <v>0</v>
      </c>
      <c r="AO41" s="342">
        <f t="shared" si="17"/>
        <v>0</v>
      </c>
      <c r="AP41" s="342">
        <f t="shared" si="17"/>
        <v>0</v>
      </c>
      <c r="AQ41" s="342">
        <f t="shared" si="17"/>
        <v>0</v>
      </c>
      <c r="AR41" s="342">
        <f t="shared" si="17"/>
        <v>0</v>
      </c>
      <c r="AS41" s="342">
        <f t="shared" si="17"/>
        <v>0</v>
      </c>
      <c r="AT41" s="342">
        <f t="shared" si="17"/>
        <v>0</v>
      </c>
      <c r="AU41" s="342">
        <f t="shared" si="17"/>
        <v>0</v>
      </c>
      <c r="AV41" s="342">
        <f t="shared" si="17"/>
        <v>0</v>
      </c>
      <c r="AW41" s="342">
        <f t="shared" si="17"/>
        <v>0</v>
      </c>
      <c r="AX41" s="342">
        <f t="shared" si="17"/>
        <v>0</v>
      </c>
      <c r="AY41" s="342">
        <f t="shared" si="17"/>
        <v>0</v>
      </c>
      <c r="AZ41" s="342">
        <f t="shared" si="17"/>
        <v>0</v>
      </c>
      <c r="BA41" s="342">
        <f t="shared" si="17"/>
        <v>0</v>
      </c>
      <c r="BB41" s="342">
        <f t="shared" si="17"/>
        <v>0</v>
      </c>
      <c r="BC41" s="342">
        <f t="shared" si="17"/>
        <v>0</v>
      </c>
      <c r="BD41" s="342">
        <f t="shared" si="17"/>
        <v>0</v>
      </c>
      <c r="BE41" s="342">
        <f t="shared" si="17"/>
        <v>0</v>
      </c>
      <c r="BF41" s="342">
        <f t="shared" si="17"/>
        <v>0</v>
      </c>
      <c r="BG41" s="342">
        <f t="shared" ref="BG41:BI42" si="18">ROUND(+C41+G41+K41+O41+S41+W41+AA41+AE41+AI41+AM41+AQ41+AU41+AY41+BC41,0)</f>
        <v>16802413134</v>
      </c>
      <c r="BH41" s="342">
        <f t="shared" si="18"/>
        <v>16768124738</v>
      </c>
      <c r="BI41" s="342">
        <f t="shared" si="18"/>
        <v>9321319317</v>
      </c>
      <c r="BJ41" s="342">
        <f t="shared" si="5"/>
        <v>9321319317.1999989</v>
      </c>
      <c r="BK41" s="287"/>
    </row>
    <row r="42" spans="1:64" ht="45.75" customHeight="1" x14ac:dyDescent="0.2">
      <c r="A42" s="303" t="s">
        <v>2020</v>
      </c>
      <c r="B42" s="343">
        <f>SUM(B43)</f>
        <v>497850171</v>
      </c>
      <c r="C42" s="343">
        <f t="shared" ref="C42:BF42" si="19">SUM(C43:C46)</f>
        <v>449850171</v>
      </c>
      <c r="D42" s="343">
        <f t="shared" si="19"/>
        <v>448943018.00000006</v>
      </c>
      <c r="E42" s="343">
        <f t="shared" si="19"/>
        <v>448943018.00000006</v>
      </c>
      <c r="F42" s="343">
        <f t="shared" si="19"/>
        <v>448943018.00000006</v>
      </c>
      <c r="G42" s="343">
        <f t="shared" si="19"/>
        <v>0</v>
      </c>
      <c r="H42" s="343">
        <f t="shared" si="19"/>
        <v>0</v>
      </c>
      <c r="I42" s="343">
        <f t="shared" si="19"/>
        <v>0</v>
      </c>
      <c r="J42" s="343">
        <f t="shared" si="19"/>
        <v>0</v>
      </c>
      <c r="K42" s="343">
        <f t="shared" si="19"/>
        <v>0</v>
      </c>
      <c r="L42" s="343">
        <f t="shared" si="19"/>
        <v>0</v>
      </c>
      <c r="M42" s="343">
        <f t="shared" si="19"/>
        <v>0</v>
      </c>
      <c r="N42" s="343">
        <f t="shared" si="19"/>
        <v>0</v>
      </c>
      <c r="O42" s="343">
        <f t="shared" si="19"/>
        <v>0</v>
      </c>
      <c r="P42" s="343">
        <f t="shared" si="19"/>
        <v>0</v>
      </c>
      <c r="Q42" s="343">
        <f t="shared" si="19"/>
        <v>0</v>
      </c>
      <c r="R42" s="343">
        <f t="shared" si="19"/>
        <v>0</v>
      </c>
      <c r="S42" s="343">
        <f t="shared" si="19"/>
        <v>0</v>
      </c>
      <c r="T42" s="343">
        <f t="shared" si="19"/>
        <v>0</v>
      </c>
      <c r="U42" s="343">
        <f t="shared" si="19"/>
        <v>0</v>
      </c>
      <c r="V42" s="343">
        <f t="shared" si="19"/>
        <v>0</v>
      </c>
      <c r="W42" s="343">
        <f t="shared" si="19"/>
        <v>0</v>
      </c>
      <c r="X42" s="343">
        <f t="shared" si="19"/>
        <v>0</v>
      </c>
      <c r="Y42" s="343">
        <f t="shared" si="19"/>
        <v>0</v>
      </c>
      <c r="Z42" s="343">
        <f t="shared" si="19"/>
        <v>0</v>
      </c>
      <c r="AA42" s="343">
        <f t="shared" si="19"/>
        <v>0</v>
      </c>
      <c r="AB42" s="343">
        <f t="shared" si="19"/>
        <v>0</v>
      </c>
      <c r="AC42" s="343">
        <f t="shared" si="19"/>
        <v>0</v>
      </c>
      <c r="AD42" s="343">
        <f t="shared" si="19"/>
        <v>0</v>
      </c>
      <c r="AE42" s="343">
        <f t="shared" si="19"/>
        <v>48000000.000000007</v>
      </c>
      <c r="AF42" s="343">
        <f t="shared" si="19"/>
        <v>34612340</v>
      </c>
      <c r="AG42" s="343">
        <f t="shared" si="19"/>
        <v>34612340</v>
      </c>
      <c r="AH42" s="343">
        <f t="shared" si="19"/>
        <v>34612340</v>
      </c>
      <c r="AI42" s="343">
        <f t="shared" si="19"/>
        <v>0</v>
      </c>
      <c r="AJ42" s="343">
        <f t="shared" si="19"/>
        <v>0</v>
      </c>
      <c r="AK42" s="343">
        <f t="shared" si="19"/>
        <v>0</v>
      </c>
      <c r="AL42" s="343">
        <f t="shared" si="19"/>
        <v>0</v>
      </c>
      <c r="AM42" s="343">
        <f t="shared" si="19"/>
        <v>0</v>
      </c>
      <c r="AN42" s="343">
        <f t="shared" si="19"/>
        <v>0</v>
      </c>
      <c r="AO42" s="343">
        <f t="shared" si="19"/>
        <v>0</v>
      </c>
      <c r="AP42" s="343">
        <f t="shared" si="19"/>
        <v>0</v>
      </c>
      <c r="AQ42" s="343">
        <f t="shared" si="19"/>
        <v>0</v>
      </c>
      <c r="AR42" s="343">
        <f t="shared" si="19"/>
        <v>0</v>
      </c>
      <c r="AS42" s="343">
        <f t="shared" si="19"/>
        <v>0</v>
      </c>
      <c r="AT42" s="343">
        <f t="shared" si="19"/>
        <v>0</v>
      </c>
      <c r="AU42" s="343">
        <f t="shared" si="19"/>
        <v>0</v>
      </c>
      <c r="AV42" s="343">
        <f t="shared" si="19"/>
        <v>0</v>
      </c>
      <c r="AW42" s="343">
        <f t="shared" si="19"/>
        <v>0</v>
      </c>
      <c r="AX42" s="343">
        <f t="shared" si="19"/>
        <v>0</v>
      </c>
      <c r="AY42" s="343">
        <f t="shared" si="19"/>
        <v>0</v>
      </c>
      <c r="AZ42" s="343">
        <f t="shared" si="19"/>
        <v>0</v>
      </c>
      <c r="BA42" s="343">
        <f t="shared" si="19"/>
        <v>0</v>
      </c>
      <c r="BB42" s="343">
        <f t="shared" si="19"/>
        <v>0</v>
      </c>
      <c r="BC42" s="343">
        <f t="shared" si="19"/>
        <v>0</v>
      </c>
      <c r="BD42" s="343">
        <f t="shared" si="19"/>
        <v>0</v>
      </c>
      <c r="BE42" s="343">
        <f t="shared" si="19"/>
        <v>0</v>
      </c>
      <c r="BF42" s="343">
        <f t="shared" si="19"/>
        <v>0</v>
      </c>
      <c r="BG42" s="343">
        <f t="shared" si="18"/>
        <v>497850171</v>
      </c>
      <c r="BH42" s="343">
        <f t="shared" si="18"/>
        <v>483555358</v>
      </c>
      <c r="BI42" s="343">
        <f t="shared" si="18"/>
        <v>483555358</v>
      </c>
      <c r="BJ42" s="343">
        <f>ROUND(+F42+J42+N42+R42+V42+Z42+AD42+AH42+AL42+AP42+AT42+AX42+BB42+BF42,0)</f>
        <v>483555358</v>
      </c>
      <c r="BK42" s="291">
        <f>+SUM(BG43:BG46)-BG42</f>
        <v>0</v>
      </c>
      <c r="BL42" s="292">
        <f>+BG42-B42</f>
        <v>0</v>
      </c>
    </row>
    <row r="43" spans="1:64" ht="45.75" customHeight="1" x14ac:dyDescent="0.2">
      <c r="A43" s="297" t="s">
        <v>2021</v>
      </c>
      <c r="B43" s="344">
        <f>140186400+357663771</f>
        <v>497850171</v>
      </c>
      <c r="C43" s="347">
        <v>149950057</v>
      </c>
      <c r="D43" s="347">
        <v>149647672.66666669</v>
      </c>
      <c r="E43" s="347">
        <v>149647672.66666669</v>
      </c>
      <c r="F43" s="347">
        <v>149647672.66666669</v>
      </c>
      <c r="G43" s="348">
        <v>0</v>
      </c>
      <c r="H43" s="348">
        <v>0</v>
      </c>
      <c r="I43" s="348">
        <v>0</v>
      </c>
      <c r="J43" s="348">
        <v>0</v>
      </c>
      <c r="K43" s="348">
        <v>0</v>
      </c>
      <c r="L43" s="348">
        <v>0</v>
      </c>
      <c r="M43" s="348">
        <v>0</v>
      </c>
      <c r="N43" s="348">
        <v>0</v>
      </c>
      <c r="O43" s="348">
        <v>0</v>
      </c>
      <c r="P43" s="348">
        <v>0</v>
      </c>
      <c r="Q43" s="348">
        <v>0</v>
      </c>
      <c r="R43" s="348">
        <v>0</v>
      </c>
      <c r="S43" s="348">
        <v>0</v>
      </c>
      <c r="T43" s="348">
        <v>0</v>
      </c>
      <c r="U43" s="348">
        <v>0</v>
      </c>
      <c r="V43" s="348">
        <v>0</v>
      </c>
      <c r="W43" s="348">
        <v>0</v>
      </c>
      <c r="X43" s="348">
        <v>0</v>
      </c>
      <c r="Y43" s="348">
        <v>0</v>
      </c>
      <c r="Z43" s="348">
        <v>0</v>
      </c>
      <c r="AA43" s="348">
        <v>0</v>
      </c>
      <c r="AB43" s="348">
        <v>0</v>
      </c>
      <c r="AC43" s="348">
        <v>0</v>
      </c>
      <c r="AD43" s="348">
        <v>0</v>
      </c>
      <c r="AE43" s="347">
        <v>16000000.000000002</v>
      </c>
      <c r="AF43" s="347">
        <v>11537446.666666668</v>
      </c>
      <c r="AG43" s="347">
        <v>11537446.666666668</v>
      </c>
      <c r="AH43" s="347">
        <v>11537446.666666668</v>
      </c>
      <c r="AI43" s="348">
        <v>0</v>
      </c>
      <c r="AJ43" s="348">
        <v>0</v>
      </c>
      <c r="AK43" s="348">
        <v>0</v>
      </c>
      <c r="AL43" s="348">
        <v>0</v>
      </c>
      <c r="AM43" s="348">
        <v>0</v>
      </c>
      <c r="AN43" s="348">
        <v>0</v>
      </c>
      <c r="AO43" s="348">
        <v>0</v>
      </c>
      <c r="AP43" s="348">
        <v>0</v>
      </c>
      <c r="AQ43" s="348">
        <v>0</v>
      </c>
      <c r="AR43" s="348">
        <v>0</v>
      </c>
      <c r="AS43" s="348">
        <v>0</v>
      </c>
      <c r="AT43" s="348">
        <v>0</v>
      </c>
      <c r="AU43" s="348">
        <v>0</v>
      </c>
      <c r="AV43" s="348">
        <v>0</v>
      </c>
      <c r="AW43" s="348">
        <v>0</v>
      </c>
      <c r="AX43" s="348">
        <v>0</v>
      </c>
      <c r="AY43" s="348">
        <v>0</v>
      </c>
      <c r="AZ43" s="348">
        <v>0</v>
      </c>
      <c r="BA43" s="348">
        <v>0</v>
      </c>
      <c r="BB43" s="348">
        <v>0</v>
      </c>
      <c r="BC43" s="348">
        <v>0</v>
      </c>
      <c r="BD43" s="348">
        <v>0</v>
      </c>
      <c r="BE43" s="348">
        <v>0</v>
      </c>
      <c r="BF43" s="348">
        <v>0</v>
      </c>
      <c r="BG43" s="347">
        <f t="shared" si="5"/>
        <v>165950057</v>
      </c>
      <c r="BH43" s="347">
        <f t="shared" si="5"/>
        <v>161185119.33333334</v>
      </c>
      <c r="BI43" s="347">
        <f t="shared" si="5"/>
        <v>161185119.33333334</v>
      </c>
      <c r="BJ43" s="347">
        <f t="shared" si="5"/>
        <v>161185119.33333334</v>
      </c>
      <c r="BK43" s="287"/>
    </row>
    <row r="44" spans="1:64" ht="45.75" customHeight="1" x14ac:dyDescent="0.2">
      <c r="A44" s="297" t="s">
        <v>2022</v>
      </c>
      <c r="B44" s="346"/>
      <c r="C44" s="347">
        <v>149950057</v>
      </c>
      <c r="D44" s="347">
        <v>149647672.66666669</v>
      </c>
      <c r="E44" s="347">
        <v>149647672.66666669</v>
      </c>
      <c r="F44" s="347">
        <v>149647672.66666669</v>
      </c>
      <c r="G44" s="348">
        <v>0</v>
      </c>
      <c r="H44" s="348">
        <v>0</v>
      </c>
      <c r="I44" s="348">
        <v>0</v>
      </c>
      <c r="J44" s="348">
        <v>0</v>
      </c>
      <c r="K44" s="348">
        <v>0</v>
      </c>
      <c r="L44" s="348">
        <v>0</v>
      </c>
      <c r="M44" s="348">
        <v>0</v>
      </c>
      <c r="N44" s="348">
        <v>0</v>
      </c>
      <c r="O44" s="348">
        <v>0</v>
      </c>
      <c r="P44" s="348">
        <v>0</v>
      </c>
      <c r="Q44" s="348">
        <v>0</v>
      </c>
      <c r="R44" s="348">
        <v>0</v>
      </c>
      <c r="S44" s="348">
        <v>0</v>
      </c>
      <c r="T44" s="348">
        <v>0</v>
      </c>
      <c r="U44" s="348">
        <v>0</v>
      </c>
      <c r="V44" s="348">
        <v>0</v>
      </c>
      <c r="W44" s="348">
        <v>0</v>
      </c>
      <c r="X44" s="348">
        <v>0</v>
      </c>
      <c r="Y44" s="348">
        <v>0</v>
      </c>
      <c r="Z44" s="348">
        <v>0</v>
      </c>
      <c r="AA44" s="348">
        <v>0</v>
      </c>
      <c r="AB44" s="348">
        <v>0</v>
      </c>
      <c r="AC44" s="348">
        <v>0</v>
      </c>
      <c r="AD44" s="348">
        <v>0</v>
      </c>
      <c r="AE44" s="347">
        <v>16000000.000000002</v>
      </c>
      <c r="AF44" s="347">
        <v>11537446.666666668</v>
      </c>
      <c r="AG44" s="347">
        <v>11537446.666666668</v>
      </c>
      <c r="AH44" s="347">
        <v>11537446.666666668</v>
      </c>
      <c r="AI44" s="348">
        <v>0</v>
      </c>
      <c r="AJ44" s="348">
        <v>0</v>
      </c>
      <c r="AK44" s="348">
        <v>0</v>
      </c>
      <c r="AL44" s="348">
        <v>0</v>
      </c>
      <c r="AM44" s="348">
        <v>0</v>
      </c>
      <c r="AN44" s="348">
        <v>0</v>
      </c>
      <c r="AO44" s="348">
        <v>0</v>
      </c>
      <c r="AP44" s="348">
        <v>0</v>
      </c>
      <c r="AQ44" s="348">
        <v>0</v>
      </c>
      <c r="AR44" s="348">
        <v>0</v>
      </c>
      <c r="AS44" s="348">
        <v>0</v>
      </c>
      <c r="AT44" s="348">
        <v>0</v>
      </c>
      <c r="AU44" s="348">
        <v>0</v>
      </c>
      <c r="AV44" s="348">
        <v>0</v>
      </c>
      <c r="AW44" s="348">
        <v>0</v>
      </c>
      <c r="AX44" s="348">
        <v>0</v>
      </c>
      <c r="AY44" s="348">
        <v>0</v>
      </c>
      <c r="AZ44" s="348">
        <v>0</v>
      </c>
      <c r="BA44" s="348">
        <v>0</v>
      </c>
      <c r="BB44" s="348">
        <v>0</v>
      </c>
      <c r="BC44" s="348">
        <v>0</v>
      </c>
      <c r="BD44" s="348">
        <v>0</v>
      </c>
      <c r="BE44" s="348">
        <v>0</v>
      </c>
      <c r="BF44" s="348">
        <v>0</v>
      </c>
      <c r="BG44" s="347">
        <f t="shared" si="5"/>
        <v>165950057</v>
      </c>
      <c r="BH44" s="347">
        <f t="shared" si="5"/>
        <v>161185119.33333334</v>
      </c>
      <c r="BI44" s="347">
        <f t="shared" si="5"/>
        <v>161185119.33333334</v>
      </c>
      <c r="BJ44" s="347">
        <f t="shared" si="5"/>
        <v>161185119.33333334</v>
      </c>
      <c r="BK44" s="287"/>
    </row>
    <row r="45" spans="1:64" ht="45.75" customHeight="1" x14ac:dyDescent="0.2">
      <c r="A45" s="297" t="s">
        <v>2023</v>
      </c>
      <c r="B45" s="346"/>
      <c r="C45" s="347">
        <v>149950057</v>
      </c>
      <c r="D45" s="347">
        <v>149647672.66666669</v>
      </c>
      <c r="E45" s="347">
        <v>149647672.66666669</v>
      </c>
      <c r="F45" s="347">
        <v>149647672.66666669</v>
      </c>
      <c r="G45" s="348">
        <v>0</v>
      </c>
      <c r="H45" s="348">
        <v>0</v>
      </c>
      <c r="I45" s="348">
        <v>0</v>
      </c>
      <c r="J45" s="348">
        <v>0</v>
      </c>
      <c r="K45" s="348">
        <v>0</v>
      </c>
      <c r="L45" s="348">
        <v>0</v>
      </c>
      <c r="M45" s="348">
        <v>0</v>
      </c>
      <c r="N45" s="348">
        <v>0</v>
      </c>
      <c r="O45" s="348">
        <v>0</v>
      </c>
      <c r="P45" s="348">
        <v>0</v>
      </c>
      <c r="Q45" s="348">
        <v>0</v>
      </c>
      <c r="R45" s="348">
        <v>0</v>
      </c>
      <c r="S45" s="348">
        <v>0</v>
      </c>
      <c r="T45" s="348">
        <v>0</v>
      </c>
      <c r="U45" s="348">
        <v>0</v>
      </c>
      <c r="V45" s="348">
        <v>0</v>
      </c>
      <c r="W45" s="348">
        <v>0</v>
      </c>
      <c r="X45" s="348">
        <v>0</v>
      </c>
      <c r="Y45" s="348">
        <v>0</v>
      </c>
      <c r="Z45" s="348">
        <v>0</v>
      </c>
      <c r="AA45" s="348">
        <v>0</v>
      </c>
      <c r="AB45" s="348">
        <v>0</v>
      </c>
      <c r="AC45" s="348">
        <v>0</v>
      </c>
      <c r="AD45" s="348">
        <v>0</v>
      </c>
      <c r="AE45" s="347">
        <v>16000000.000000002</v>
      </c>
      <c r="AF45" s="347">
        <v>11537446.666666668</v>
      </c>
      <c r="AG45" s="347">
        <v>11537446.666666668</v>
      </c>
      <c r="AH45" s="347">
        <v>11537446.666666668</v>
      </c>
      <c r="AI45" s="348">
        <v>0</v>
      </c>
      <c r="AJ45" s="348">
        <v>0</v>
      </c>
      <c r="AK45" s="348">
        <v>0</v>
      </c>
      <c r="AL45" s="348">
        <v>0</v>
      </c>
      <c r="AM45" s="348">
        <v>0</v>
      </c>
      <c r="AN45" s="348">
        <v>0</v>
      </c>
      <c r="AO45" s="348">
        <v>0</v>
      </c>
      <c r="AP45" s="348">
        <v>0</v>
      </c>
      <c r="AQ45" s="348">
        <v>0</v>
      </c>
      <c r="AR45" s="348">
        <v>0</v>
      </c>
      <c r="AS45" s="348">
        <v>0</v>
      </c>
      <c r="AT45" s="348">
        <v>0</v>
      </c>
      <c r="AU45" s="348">
        <v>0</v>
      </c>
      <c r="AV45" s="348">
        <v>0</v>
      </c>
      <c r="AW45" s="348">
        <v>0</v>
      </c>
      <c r="AX45" s="348">
        <v>0</v>
      </c>
      <c r="AY45" s="348">
        <v>0</v>
      </c>
      <c r="AZ45" s="348">
        <v>0</v>
      </c>
      <c r="BA45" s="348">
        <v>0</v>
      </c>
      <c r="BB45" s="348">
        <v>0</v>
      </c>
      <c r="BC45" s="348">
        <v>0</v>
      </c>
      <c r="BD45" s="348">
        <v>0</v>
      </c>
      <c r="BE45" s="348">
        <v>0</v>
      </c>
      <c r="BF45" s="348">
        <v>0</v>
      </c>
      <c r="BG45" s="347">
        <f t="shared" si="5"/>
        <v>165950057</v>
      </c>
      <c r="BH45" s="347">
        <f t="shared" si="5"/>
        <v>161185119.33333334</v>
      </c>
      <c r="BI45" s="347">
        <f t="shared" si="5"/>
        <v>161185119.33333334</v>
      </c>
      <c r="BJ45" s="347">
        <f t="shared" si="5"/>
        <v>161185119.33333334</v>
      </c>
      <c r="BK45" s="287"/>
    </row>
    <row r="46" spans="1:64" ht="45.75" customHeight="1" x14ac:dyDescent="0.2">
      <c r="A46" s="293" t="s">
        <v>2024</v>
      </c>
      <c r="B46" s="349"/>
      <c r="C46" s="348">
        <v>0</v>
      </c>
      <c r="D46" s="348">
        <v>0</v>
      </c>
      <c r="E46" s="348">
        <v>0</v>
      </c>
      <c r="F46" s="348">
        <v>0</v>
      </c>
      <c r="G46" s="345">
        <v>0</v>
      </c>
      <c r="H46" s="345">
        <v>0</v>
      </c>
      <c r="I46" s="345">
        <v>0</v>
      </c>
      <c r="J46" s="345">
        <v>0</v>
      </c>
      <c r="K46" s="345">
        <v>0</v>
      </c>
      <c r="L46" s="345">
        <v>0</v>
      </c>
      <c r="M46" s="345">
        <v>0</v>
      </c>
      <c r="N46" s="345">
        <v>0</v>
      </c>
      <c r="O46" s="345">
        <v>0</v>
      </c>
      <c r="P46" s="345">
        <v>0</v>
      </c>
      <c r="Q46" s="345">
        <v>0</v>
      </c>
      <c r="R46" s="345">
        <v>0</v>
      </c>
      <c r="S46" s="345">
        <v>0</v>
      </c>
      <c r="T46" s="345">
        <v>0</v>
      </c>
      <c r="U46" s="345">
        <v>0</v>
      </c>
      <c r="V46" s="345">
        <v>0</v>
      </c>
      <c r="W46" s="345">
        <v>0</v>
      </c>
      <c r="X46" s="345">
        <v>0</v>
      </c>
      <c r="Y46" s="345">
        <v>0</v>
      </c>
      <c r="Z46" s="345">
        <v>0</v>
      </c>
      <c r="AA46" s="345">
        <v>0</v>
      </c>
      <c r="AB46" s="345">
        <v>0</v>
      </c>
      <c r="AC46" s="345">
        <v>0</v>
      </c>
      <c r="AD46" s="345">
        <v>0</v>
      </c>
      <c r="AE46" s="345">
        <v>0</v>
      </c>
      <c r="AF46" s="345">
        <v>0</v>
      </c>
      <c r="AG46" s="345">
        <v>0</v>
      </c>
      <c r="AH46" s="345">
        <v>0</v>
      </c>
      <c r="AI46" s="345">
        <v>0</v>
      </c>
      <c r="AJ46" s="345">
        <v>0</v>
      </c>
      <c r="AK46" s="345">
        <v>0</v>
      </c>
      <c r="AL46" s="345">
        <v>0</v>
      </c>
      <c r="AM46" s="345">
        <v>0</v>
      </c>
      <c r="AN46" s="345">
        <v>0</v>
      </c>
      <c r="AO46" s="345">
        <v>0</v>
      </c>
      <c r="AP46" s="345">
        <v>0</v>
      </c>
      <c r="AQ46" s="345">
        <v>0</v>
      </c>
      <c r="AR46" s="345">
        <v>0</v>
      </c>
      <c r="AS46" s="345">
        <v>0</v>
      </c>
      <c r="AT46" s="345">
        <v>0</v>
      </c>
      <c r="AU46" s="345">
        <v>0</v>
      </c>
      <c r="AV46" s="345">
        <v>0</v>
      </c>
      <c r="AW46" s="345">
        <v>0</v>
      </c>
      <c r="AX46" s="345">
        <v>0</v>
      </c>
      <c r="AY46" s="345">
        <v>0</v>
      </c>
      <c r="AZ46" s="345">
        <v>0</v>
      </c>
      <c r="BA46" s="345">
        <v>0</v>
      </c>
      <c r="BB46" s="345">
        <v>0</v>
      </c>
      <c r="BC46" s="345">
        <v>0</v>
      </c>
      <c r="BD46" s="345">
        <v>0</v>
      </c>
      <c r="BE46" s="345">
        <v>0</v>
      </c>
      <c r="BF46" s="345">
        <v>0</v>
      </c>
      <c r="BG46" s="345">
        <f t="shared" si="5"/>
        <v>0</v>
      </c>
      <c r="BH46" s="345">
        <f t="shared" si="5"/>
        <v>0</v>
      </c>
      <c r="BI46" s="345">
        <f t="shared" si="5"/>
        <v>0</v>
      </c>
      <c r="BJ46" s="345">
        <f t="shared" si="5"/>
        <v>0</v>
      </c>
      <c r="BK46" s="302">
        <f>+SUM(BG43:BG45)-B43</f>
        <v>0</v>
      </c>
    </row>
    <row r="47" spans="1:64" ht="45.75" customHeight="1" x14ac:dyDescent="0.2">
      <c r="A47" s="303" t="s">
        <v>2025</v>
      </c>
      <c r="B47" s="343">
        <f t="shared" ref="B47:AD47" si="20">SUM(B48:B50)</f>
        <v>16304562963.220001</v>
      </c>
      <c r="C47" s="343">
        <f t="shared" si="20"/>
        <v>16813600</v>
      </c>
      <c r="D47" s="343">
        <f t="shared" si="20"/>
        <v>16813600</v>
      </c>
      <c r="E47" s="343">
        <f t="shared" si="20"/>
        <v>16813600</v>
      </c>
      <c r="F47" s="343">
        <f t="shared" si="20"/>
        <v>16813600</v>
      </c>
      <c r="G47" s="343">
        <f t="shared" si="20"/>
        <v>0</v>
      </c>
      <c r="H47" s="343">
        <f t="shared" si="20"/>
        <v>0</v>
      </c>
      <c r="I47" s="343">
        <f t="shared" si="20"/>
        <v>0</v>
      </c>
      <c r="J47" s="343">
        <f t="shared" si="20"/>
        <v>0</v>
      </c>
      <c r="K47" s="343">
        <f t="shared" si="20"/>
        <v>0</v>
      </c>
      <c r="L47" s="343">
        <f t="shared" si="20"/>
        <v>0</v>
      </c>
      <c r="M47" s="343">
        <f t="shared" si="20"/>
        <v>0</v>
      </c>
      <c r="N47" s="343">
        <f t="shared" si="20"/>
        <v>0</v>
      </c>
      <c r="O47" s="343">
        <f t="shared" si="20"/>
        <v>0</v>
      </c>
      <c r="P47" s="343">
        <f t="shared" si="20"/>
        <v>0</v>
      </c>
      <c r="Q47" s="343">
        <f t="shared" si="20"/>
        <v>0</v>
      </c>
      <c r="R47" s="343">
        <f t="shared" si="20"/>
        <v>0</v>
      </c>
      <c r="S47" s="343">
        <f t="shared" si="20"/>
        <v>0</v>
      </c>
      <c r="T47" s="343">
        <f t="shared" si="20"/>
        <v>0</v>
      </c>
      <c r="U47" s="343">
        <f t="shared" si="20"/>
        <v>0</v>
      </c>
      <c r="V47" s="343">
        <f t="shared" si="20"/>
        <v>0</v>
      </c>
      <c r="W47" s="343">
        <f>SUM(W48:W50)</f>
        <v>16287749363.220001</v>
      </c>
      <c r="X47" s="343">
        <f>SUM(X48:X50)</f>
        <v>16267755780</v>
      </c>
      <c r="Y47" s="343">
        <f>SUM(Y48:Y50)</f>
        <v>8820950359.1999989</v>
      </c>
      <c r="Z47" s="343">
        <f t="shared" si="20"/>
        <v>8820950359.1999989</v>
      </c>
      <c r="AA47" s="343">
        <f t="shared" si="20"/>
        <v>0</v>
      </c>
      <c r="AB47" s="343">
        <f t="shared" si="20"/>
        <v>0</v>
      </c>
      <c r="AC47" s="343">
        <f t="shared" si="20"/>
        <v>0</v>
      </c>
      <c r="AD47" s="343">
        <f t="shared" si="20"/>
        <v>0</v>
      </c>
      <c r="AE47" s="343">
        <f t="shared" ref="AE47:BF47" si="21">SUM(AE48:AE50)</f>
        <v>0</v>
      </c>
      <c r="AF47" s="343">
        <f t="shared" si="21"/>
        <v>0</v>
      </c>
      <c r="AG47" s="343">
        <f t="shared" si="21"/>
        <v>0</v>
      </c>
      <c r="AH47" s="343">
        <f t="shared" si="21"/>
        <v>0</v>
      </c>
      <c r="AI47" s="343">
        <f t="shared" si="21"/>
        <v>0</v>
      </c>
      <c r="AJ47" s="343">
        <f t="shared" si="21"/>
        <v>0</v>
      </c>
      <c r="AK47" s="343">
        <f t="shared" si="21"/>
        <v>0</v>
      </c>
      <c r="AL47" s="343">
        <f t="shared" si="21"/>
        <v>0</v>
      </c>
      <c r="AM47" s="343">
        <f t="shared" si="21"/>
        <v>0</v>
      </c>
      <c r="AN47" s="343">
        <f t="shared" si="21"/>
        <v>0</v>
      </c>
      <c r="AO47" s="343">
        <f t="shared" si="21"/>
        <v>0</v>
      </c>
      <c r="AP47" s="343">
        <f t="shared" si="21"/>
        <v>0</v>
      </c>
      <c r="AQ47" s="343">
        <f t="shared" si="21"/>
        <v>0</v>
      </c>
      <c r="AR47" s="343">
        <f t="shared" si="21"/>
        <v>0</v>
      </c>
      <c r="AS47" s="343">
        <f t="shared" si="21"/>
        <v>0</v>
      </c>
      <c r="AT47" s="343">
        <f t="shared" si="21"/>
        <v>0</v>
      </c>
      <c r="AU47" s="343">
        <f t="shared" si="21"/>
        <v>0</v>
      </c>
      <c r="AV47" s="343">
        <f t="shared" si="21"/>
        <v>0</v>
      </c>
      <c r="AW47" s="343">
        <f t="shared" si="21"/>
        <v>0</v>
      </c>
      <c r="AX47" s="343">
        <f t="shared" si="21"/>
        <v>0</v>
      </c>
      <c r="AY47" s="343">
        <f t="shared" si="21"/>
        <v>0</v>
      </c>
      <c r="AZ47" s="343">
        <f t="shared" si="21"/>
        <v>0</v>
      </c>
      <c r="BA47" s="343">
        <f t="shared" si="21"/>
        <v>0</v>
      </c>
      <c r="BB47" s="343">
        <f t="shared" si="21"/>
        <v>0</v>
      </c>
      <c r="BC47" s="343">
        <f t="shared" si="21"/>
        <v>0</v>
      </c>
      <c r="BD47" s="343">
        <f t="shared" si="21"/>
        <v>0</v>
      </c>
      <c r="BE47" s="343">
        <f t="shared" si="21"/>
        <v>0</v>
      </c>
      <c r="BF47" s="343">
        <f t="shared" si="21"/>
        <v>0</v>
      </c>
      <c r="BG47" s="343">
        <f t="shared" si="5"/>
        <v>16304562963.220001</v>
      </c>
      <c r="BH47" s="343">
        <f t="shared" si="5"/>
        <v>16284569380</v>
      </c>
      <c r="BI47" s="343">
        <f t="shared" si="5"/>
        <v>8837763959.1999989</v>
      </c>
      <c r="BJ47" s="343">
        <f t="shared" si="5"/>
        <v>8837763959.1999989</v>
      </c>
      <c r="BK47" s="291">
        <f>+SUM(BG48:BG50)-BG47</f>
        <v>0</v>
      </c>
      <c r="BL47" s="292">
        <f>+BG47-B47</f>
        <v>0</v>
      </c>
    </row>
    <row r="48" spans="1:64" ht="45.75" customHeight="1" x14ac:dyDescent="0.2">
      <c r="A48" s="305" t="s">
        <v>2026</v>
      </c>
      <c r="B48" s="344">
        <f>16813600+1618721090.77+10169028272.45+4500000000</f>
        <v>16304562963.220001</v>
      </c>
      <c r="C48" s="353">
        <v>16813600</v>
      </c>
      <c r="D48" s="353">
        <v>16813600</v>
      </c>
      <c r="E48" s="353">
        <v>16813600</v>
      </c>
      <c r="F48" s="353">
        <v>16813600</v>
      </c>
      <c r="G48" s="348">
        <v>0</v>
      </c>
      <c r="H48" s="348">
        <v>0</v>
      </c>
      <c r="I48" s="348">
        <v>0</v>
      </c>
      <c r="J48" s="348">
        <v>0</v>
      </c>
      <c r="K48" s="348">
        <v>0</v>
      </c>
      <c r="L48" s="348">
        <v>0</v>
      </c>
      <c r="M48" s="348">
        <v>0</v>
      </c>
      <c r="N48" s="348">
        <v>0</v>
      </c>
      <c r="O48" s="348">
        <v>0</v>
      </c>
      <c r="P48" s="348">
        <v>0</v>
      </c>
      <c r="Q48" s="348">
        <v>0</v>
      </c>
      <c r="R48" s="348">
        <v>0</v>
      </c>
      <c r="S48" s="348">
        <v>0</v>
      </c>
      <c r="T48" s="348">
        <v>0</v>
      </c>
      <c r="U48" s="348">
        <v>0</v>
      </c>
      <c r="V48" s="348">
        <v>0</v>
      </c>
      <c r="W48" s="353">
        <v>1618721090.77</v>
      </c>
      <c r="X48" s="353">
        <v>1617958351</v>
      </c>
      <c r="Y48" s="353">
        <v>1287379266.3</v>
      </c>
      <c r="Z48" s="353">
        <v>1287379266.3</v>
      </c>
      <c r="AA48" s="348">
        <v>0</v>
      </c>
      <c r="AB48" s="348">
        <v>0</v>
      </c>
      <c r="AC48" s="348">
        <v>0</v>
      </c>
      <c r="AD48" s="348">
        <v>0</v>
      </c>
      <c r="AE48" s="348">
        <v>0</v>
      </c>
      <c r="AF48" s="348">
        <v>0</v>
      </c>
      <c r="AG48" s="348">
        <v>0</v>
      </c>
      <c r="AH48" s="348">
        <v>0</v>
      </c>
      <c r="AI48" s="348">
        <v>0</v>
      </c>
      <c r="AJ48" s="348">
        <v>0</v>
      </c>
      <c r="AK48" s="348">
        <v>0</v>
      </c>
      <c r="AL48" s="348">
        <v>0</v>
      </c>
      <c r="AM48" s="348">
        <v>0</v>
      </c>
      <c r="AN48" s="348">
        <v>0</v>
      </c>
      <c r="AO48" s="348">
        <v>0</v>
      </c>
      <c r="AP48" s="348">
        <v>0</v>
      </c>
      <c r="AQ48" s="348">
        <v>0</v>
      </c>
      <c r="AR48" s="348">
        <v>0</v>
      </c>
      <c r="AS48" s="348">
        <v>0</v>
      </c>
      <c r="AT48" s="348">
        <v>0</v>
      </c>
      <c r="AU48" s="348">
        <v>0</v>
      </c>
      <c r="AV48" s="348">
        <v>0</v>
      </c>
      <c r="AW48" s="348">
        <v>0</v>
      </c>
      <c r="AX48" s="348">
        <v>0</v>
      </c>
      <c r="AY48" s="348">
        <v>0</v>
      </c>
      <c r="AZ48" s="348">
        <v>0</v>
      </c>
      <c r="BA48" s="348">
        <v>0</v>
      </c>
      <c r="BB48" s="348">
        <v>0</v>
      </c>
      <c r="BC48" s="348">
        <v>0</v>
      </c>
      <c r="BD48" s="348">
        <v>0</v>
      </c>
      <c r="BE48" s="348">
        <v>0</v>
      </c>
      <c r="BF48" s="348">
        <v>0</v>
      </c>
      <c r="BG48" s="353">
        <f t="shared" si="5"/>
        <v>1635534690.77</v>
      </c>
      <c r="BH48" s="353">
        <f t="shared" si="5"/>
        <v>1634771951</v>
      </c>
      <c r="BI48" s="353">
        <f t="shared" si="5"/>
        <v>1304192866.3</v>
      </c>
      <c r="BJ48" s="353">
        <f t="shared" si="5"/>
        <v>1304192866.3</v>
      </c>
      <c r="BK48" s="287"/>
    </row>
    <row r="49" spans="1:64" ht="45.75" customHeight="1" x14ac:dyDescent="0.2">
      <c r="A49" s="293" t="s">
        <v>2027</v>
      </c>
      <c r="B49" s="346"/>
      <c r="C49" s="345">
        <v>0</v>
      </c>
      <c r="D49" s="345">
        <v>0</v>
      </c>
      <c r="E49" s="345">
        <v>0</v>
      </c>
      <c r="F49" s="345">
        <v>0</v>
      </c>
      <c r="G49" s="345">
        <v>0</v>
      </c>
      <c r="H49" s="345">
        <v>0</v>
      </c>
      <c r="I49" s="345">
        <v>0</v>
      </c>
      <c r="J49" s="345">
        <v>0</v>
      </c>
      <c r="K49" s="345">
        <v>0</v>
      </c>
      <c r="L49" s="345">
        <v>0</v>
      </c>
      <c r="M49" s="345">
        <v>0</v>
      </c>
      <c r="N49" s="345">
        <v>0</v>
      </c>
      <c r="O49" s="345">
        <v>0</v>
      </c>
      <c r="P49" s="345">
        <v>0</v>
      </c>
      <c r="Q49" s="345">
        <v>0</v>
      </c>
      <c r="R49" s="345">
        <v>0</v>
      </c>
      <c r="S49" s="345">
        <v>0</v>
      </c>
      <c r="T49" s="345">
        <v>0</v>
      </c>
      <c r="U49" s="345">
        <v>0</v>
      </c>
      <c r="V49" s="345">
        <v>0</v>
      </c>
      <c r="W49" s="345">
        <v>0</v>
      </c>
      <c r="X49" s="345">
        <v>0</v>
      </c>
      <c r="Y49" s="345">
        <v>0</v>
      </c>
      <c r="Z49" s="345">
        <v>0</v>
      </c>
      <c r="AA49" s="345">
        <v>0</v>
      </c>
      <c r="AB49" s="345">
        <v>0</v>
      </c>
      <c r="AC49" s="345">
        <v>0</v>
      </c>
      <c r="AD49" s="345">
        <v>0</v>
      </c>
      <c r="AE49" s="345">
        <v>0</v>
      </c>
      <c r="AF49" s="345">
        <v>0</v>
      </c>
      <c r="AG49" s="345">
        <v>0</v>
      </c>
      <c r="AH49" s="345">
        <v>0</v>
      </c>
      <c r="AI49" s="345">
        <v>0</v>
      </c>
      <c r="AJ49" s="345">
        <v>0</v>
      </c>
      <c r="AK49" s="345">
        <v>0</v>
      </c>
      <c r="AL49" s="345">
        <v>0</v>
      </c>
      <c r="AM49" s="345">
        <v>0</v>
      </c>
      <c r="AN49" s="345">
        <v>0</v>
      </c>
      <c r="AO49" s="345">
        <v>0</v>
      </c>
      <c r="AP49" s="345">
        <v>0</v>
      </c>
      <c r="AQ49" s="345">
        <v>0</v>
      </c>
      <c r="AR49" s="345">
        <v>0</v>
      </c>
      <c r="AS49" s="345">
        <v>0</v>
      </c>
      <c r="AT49" s="345">
        <v>0</v>
      </c>
      <c r="AU49" s="345">
        <v>0</v>
      </c>
      <c r="AV49" s="345">
        <v>0</v>
      </c>
      <c r="AW49" s="345">
        <v>0</v>
      </c>
      <c r="AX49" s="345">
        <v>0</v>
      </c>
      <c r="AY49" s="345">
        <v>0</v>
      </c>
      <c r="AZ49" s="345">
        <v>0</v>
      </c>
      <c r="BA49" s="345">
        <v>0</v>
      </c>
      <c r="BB49" s="345">
        <v>0</v>
      </c>
      <c r="BC49" s="345">
        <v>0</v>
      </c>
      <c r="BD49" s="345">
        <v>0</v>
      </c>
      <c r="BE49" s="345">
        <v>0</v>
      </c>
      <c r="BF49" s="345">
        <v>0</v>
      </c>
      <c r="BG49" s="345">
        <f t="shared" si="5"/>
        <v>0</v>
      </c>
      <c r="BH49" s="345">
        <f t="shared" si="5"/>
        <v>0</v>
      </c>
      <c r="BI49" s="345">
        <f t="shared" si="5"/>
        <v>0</v>
      </c>
      <c r="BJ49" s="345">
        <f t="shared" si="5"/>
        <v>0</v>
      </c>
      <c r="BK49" s="287"/>
    </row>
    <row r="50" spans="1:64" ht="45.75" customHeight="1" x14ac:dyDescent="0.2">
      <c r="A50" s="305" t="s">
        <v>2028</v>
      </c>
      <c r="B50" s="349"/>
      <c r="C50" s="348">
        <v>0</v>
      </c>
      <c r="D50" s="348">
        <v>0</v>
      </c>
      <c r="E50" s="348">
        <v>0</v>
      </c>
      <c r="F50" s="348">
        <v>0</v>
      </c>
      <c r="G50" s="348">
        <v>0</v>
      </c>
      <c r="H50" s="348">
        <v>0</v>
      </c>
      <c r="I50" s="348">
        <v>0</v>
      </c>
      <c r="J50" s="348">
        <v>0</v>
      </c>
      <c r="K50" s="348">
        <v>0</v>
      </c>
      <c r="L50" s="348">
        <v>0</v>
      </c>
      <c r="M50" s="348">
        <v>0</v>
      </c>
      <c r="N50" s="348">
        <v>0</v>
      </c>
      <c r="O50" s="348">
        <v>0</v>
      </c>
      <c r="P50" s="348">
        <v>0</v>
      </c>
      <c r="Q50" s="348">
        <v>0</v>
      </c>
      <c r="R50" s="348">
        <v>0</v>
      </c>
      <c r="S50" s="348">
        <v>0</v>
      </c>
      <c r="T50" s="348">
        <v>0</v>
      </c>
      <c r="U50" s="348">
        <v>0</v>
      </c>
      <c r="V50" s="348">
        <v>0</v>
      </c>
      <c r="W50" s="353">
        <f>10169028272.45+4500000000</f>
        <v>14669028272.450001</v>
      </c>
      <c r="X50" s="353">
        <f>10166037623+4483759806</f>
        <v>14649797429</v>
      </c>
      <c r="Y50" s="353">
        <f>3049811286.9+4483759806</f>
        <v>7533571092.8999996</v>
      </c>
      <c r="Z50" s="353">
        <f>3049811286.9+4483759806</f>
        <v>7533571092.8999996</v>
      </c>
      <c r="AA50" s="348">
        <v>0</v>
      </c>
      <c r="AB50" s="348">
        <v>0</v>
      </c>
      <c r="AC50" s="348">
        <v>0</v>
      </c>
      <c r="AD50" s="348">
        <v>0</v>
      </c>
      <c r="AE50" s="348">
        <v>0</v>
      </c>
      <c r="AF50" s="348">
        <v>0</v>
      </c>
      <c r="AG50" s="348">
        <v>0</v>
      </c>
      <c r="AH50" s="348">
        <v>0</v>
      </c>
      <c r="AI50" s="348">
        <v>0</v>
      </c>
      <c r="AJ50" s="348">
        <v>0</v>
      </c>
      <c r="AK50" s="348">
        <v>0</v>
      </c>
      <c r="AL50" s="348">
        <v>0</v>
      </c>
      <c r="AM50" s="348">
        <v>0</v>
      </c>
      <c r="AN50" s="348">
        <v>0</v>
      </c>
      <c r="AO50" s="348">
        <v>0</v>
      </c>
      <c r="AP50" s="348">
        <v>0</v>
      </c>
      <c r="AQ50" s="348">
        <v>0</v>
      </c>
      <c r="AR50" s="348">
        <v>0</v>
      </c>
      <c r="AS50" s="348">
        <v>0</v>
      </c>
      <c r="AT50" s="348">
        <v>0</v>
      </c>
      <c r="AU50" s="348">
        <v>0</v>
      </c>
      <c r="AV50" s="348">
        <v>0</v>
      </c>
      <c r="AW50" s="348">
        <v>0</v>
      </c>
      <c r="AX50" s="348">
        <v>0</v>
      </c>
      <c r="AY50" s="348">
        <v>0</v>
      </c>
      <c r="AZ50" s="348">
        <v>0</v>
      </c>
      <c r="BA50" s="348">
        <v>0</v>
      </c>
      <c r="BB50" s="348">
        <v>0</v>
      </c>
      <c r="BC50" s="348">
        <v>0</v>
      </c>
      <c r="BD50" s="348">
        <v>0</v>
      </c>
      <c r="BE50" s="348">
        <v>0</v>
      </c>
      <c r="BF50" s="348">
        <v>0</v>
      </c>
      <c r="BG50" s="353">
        <f t="shared" si="5"/>
        <v>14669028272.450001</v>
      </c>
      <c r="BH50" s="353">
        <f t="shared" si="5"/>
        <v>14649797429</v>
      </c>
      <c r="BI50" s="353">
        <f t="shared" si="5"/>
        <v>7533571092.8999996</v>
      </c>
      <c r="BJ50" s="353">
        <f t="shared" si="5"/>
        <v>7533571092.8999996</v>
      </c>
      <c r="BK50" s="302">
        <f>+SUM(BG48:BG50)-B48</f>
        <v>0</v>
      </c>
    </row>
    <row r="51" spans="1:64" s="283" customFormat="1" ht="45.75" customHeight="1" x14ac:dyDescent="0.2">
      <c r="A51" s="280" t="s">
        <v>115</v>
      </c>
      <c r="B51" s="341">
        <f>+B52</f>
        <v>51727520792.610001</v>
      </c>
      <c r="C51" s="341">
        <f t="shared" ref="C51:BF51" si="22">+C52</f>
        <v>2002184922.1600001</v>
      </c>
      <c r="D51" s="341">
        <f t="shared" si="22"/>
        <v>1994374359.1600001</v>
      </c>
      <c r="E51" s="341">
        <f t="shared" si="22"/>
        <v>1989394657.3499999</v>
      </c>
      <c r="F51" s="341">
        <f t="shared" si="22"/>
        <v>1989394657.3499999</v>
      </c>
      <c r="G51" s="341">
        <f t="shared" si="22"/>
        <v>434585880</v>
      </c>
      <c r="H51" s="341">
        <f t="shared" si="22"/>
        <v>410552686</v>
      </c>
      <c r="I51" s="341">
        <f t="shared" si="22"/>
        <v>410552686</v>
      </c>
      <c r="J51" s="341">
        <f t="shared" si="22"/>
        <v>410552686</v>
      </c>
      <c r="K51" s="341">
        <f t="shared" si="22"/>
        <v>0</v>
      </c>
      <c r="L51" s="341">
        <f t="shared" si="22"/>
        <v>0</v>
      </c>
      <c r="M51" s="341">
        <f t="shared" si="22"/>
        <v>0</v>
      </c>
      <c r="N51" s="341">
        <f t="shared" si="22"/>
        <v>0</v>
      </c>
      <c r="O51" s="341">
        <f t="shared" si="22"/>
        <v>0</v>
      </c>
      <c r="P51" s="341">
        <f t="shared" si="22"/>
        <v>0</v>
      </c>
      <c r="Q51" s="341">
        <f t="shared" si="22"/>
        <v>0</v>
      </c>
      <c r="R51" s="341">
        <f t="shared" si="22"/>
        <v>0</v>
      </c>
      <c r="S51" s="341">
        <f t="shared" si="22"/>
        <v>0</v>
      </c>
      <c r="T51" s="341">
        <f t="shared" si="22"/>
        <v>0</v>
      </c>
      <c r="U51" s="341">
        <f t="shared" si="22"/>
        <v>0</v>
      </c>
      <c r="V51" s="341">
        <f t="shared" si="22"/>
        <v>0</v>
      </c>
      <c r="W51" s="341">
        <f t="shared" si="22"/>
        <v>46146370401.150002</v>
      </c>
      <c r="X51" s="341">
        <f t="shared" si="22"/>
        <v>46132360556.5</v>
      </c>
      <c r="Y51" s="341">
        <f t="shared" si="22"/>
        <v>26756100432.939999</v>
      </c>
      <c r="Z51" s="341">
        <f t="shared" si="22"/>
        <v>26756100432.939999</v>
      </c>
      <c r="AA51" s="341">
        <f t="shared" si="22"/>
        <v>0</v>
      </c>
      <c r="AB51" s="341">
        <f t="shared" si="22"/>
        <v>0</v>
      </c>
      <c r="AC51" s="341">
        <f t="shared" si="22"/>
        <v>0</v>
      </c>
      <c r="AD51" s="341">
        <f t="shared" si="22"/>
        <v>0</v>
      </c>
      <c r="AE51" s="341">
        <f t="shared" si="22"/>
        <v>350731033.30000001</v>
      </c>
      <c r="AF51" s="341">
        <f t="shared" si="22"/>
        <v>290000000</v>
      </c>
      <c r="AG51" s="341">
        <f t="shared" si="22"/>
        <v>15000000</v>
      </c>
      <c r="AH51" s="341">
        <f t="shared" si="22"/>
        <v>0</v>
      </c>
      <c r="AI51" s="341">
        <f t="shared" si="22"/>
        <v>0</v>
      </c>
      <c r="AJ51" s="341">
        <f t="shared" si="22"/>
        <v>0</v>
      </c>
      <c r="AK51" s="341">
        <f t="shared" si="22"/>
        <v>0</v>
      </c>
      <c r="AL51" s="341">
        <f t="shared" si="22"/>
        <v>0</v>
      </c>
      <c r="AM51" s="341">
        <f t="shared" si="22"/>
        <v>2793648556</v>
      </c>
      <c r="AN51" s="341">
        <f t="shared" si="22"/>
        <v>2793076754</v>
      </c>
      <c r="AO51" s="341">
        <f t="shared" si="22"/>
        <v>0</v>
      </c>
      <c r="AP51" s="341">
        <f t="shared" si="22"/>
        <v>0</v>
      </c>
      <c r="AQ51" s="341">
        <f t="shared" si="22"/>
        <v>0</v>
      </c>
      <c r="AR51" s="341">
        <f t="shared" si="22"/>
        <v>0</v>
      </c>
      <c r="AS51" s="341">
        <f t="shared" si="22"/>
        <v>0</v>
      </c>
      <c r="AT51" s="341">
        <f t="shared" si="22"/>
        <v>0</v>
      </c>
      <c r="AU51" s="341">
        <f t="shared" si="22"/>
        <v>0</v>
      </c>
      <c r="AV51" s="341">
        <f t="shared" si="22"/>
        <v>0</v>
      </c>
      <c r="AW51" s="341">
        <f t="shared" si="22"/>
        <v>0</v>
      </c>
      <c r="AX51" s="341">
        <f t="shared" si="22"/>
        <v>0</v>
      </c>
      <c r="AY51" s="341">
        <f t="shared" si="22"/>
        <v>0</v>
      </c>
      <c r="AZ51" s="341">
        <f t="shared" si="22"/>
        <v>0</v>
      </c>
      <c r="BA51" s="341">
        <f t="shared" si="22"/>
        <v>0</v>
      </c>
      <c r="BB51" s="341">
        <f t="shared" si="22"/>
        <v>0</v>
      </c>
      <c r="BC51" s="341">
        <f t="shared" si="22"/>
        <v>0</v>
      </c>
      <c r="BD51" s="341">
        <f t="shared" si="22"/>
        <v>0</v>
      </c>
      <c r="BE51" s="341">
        <f t="shared" si="22"/>
        <v>0</v>
      </c>
      <c r="BF51" s="341">
        <f t="shared" si="22"/>
        <v>0</v>
      </c>
      <c r="BG51" s="341">
        <f t="shared" si="5"/>
        <v>51727520792.610001</v>
      </c>
      <c r="BH51" s="341">
        <f t="shared" si="5"/>
        <v>51620364355.660004</v>
      </c>
      <c r="BI51" s="341">
        <f t="shared" si="5"/>
        <v>29171047776.289997</v>
      </c>
      <c r="BJ51" s="341">
        <f t="shared" si="5"/>
        <v>29156047776.289997</v>
      </c>
      <c r="BK51" s="282"/>
    </row>
    <row r="52" spans="1:64" ht="45.75" customHeight="1" x14ac:dyDescent="0.2">
      <c r="A52" s="284" t="s">
        <v>2029</v>
      </c>
      <c r="B52" s="342">
        <f t="shared" ref="B52:BF52" si="23">+B53+B57+B63</f>
        <v>51727520792.610001</v>
      </c>
      <c r="C52" s="342">
        <f t="shared" si="23"/>
        <v>2002184922.1600001</v>
      </c>
      <c r="D52" s="342">
        <f t="shared" si="23"/>
        <v>1994374359.1600001</v>
      </c>
      <c r="E52" s="342">
        <f t="shared" si="23"/>
        <v>1989394657.3499999</v>
      </c>
      <c r="F52" s="342">
        <f t="shared" si="23"/>
        <v>1989394657.3499999</v>
      </c>
      <c r="G52" s="342">
        <f t="shared" si="23"/>
        <v>434585880</v>
      </c>
      <c r="H52" s="342">
        <f t="shared" si="23"/>
        <v>410552686</v>
      </c>
      <c r="I52" s="342">
        <f t="shared" si="23"/>
        <v>410552686</v>
      </c>
      <c r="J52" s="342">
        <f t="shared" si="23"/>
        <v>410552686</v>
      </c>
      <c r="K52" s="342">
        <f t="shared" si="23"/>
        <v>0</v>
      </c>
      <c r="L52" s="342">
        <f t="shared" si="23"/>
        <v>0</v>
      </c>
      <c r="M52" s="342">
        <f t="shared" si="23"/>
        <v>0</v>
      </c>
      <c r="N52" s="342">
        <f t="shared" si="23"/>
        <v>0</v>
      </c>
      <c r="O52" s="342">
        <f t="shared" si="23"/>
        <v>0</v>
      </c>
      <c r="P52" s="342">
        <f t="shared" si="23"/>
        <v>0</v>
      </c>
      <c r="Q52" s="342">
        <f t="shared" si="23"/>
        <v>0</v>
      </c>
      <c r="R52" s="342">
        <f t="shared" si="23"/>
        <v>0</v>
      </c>
      <c r="S52" s="342">
        <f t="shared" si="23"/>
        <v>0</v>
      </c>
      <c r="T52" s="342">
        <f t="shared" si="23"/>
        <v>0</v>
      </c>
      <c r="U52" s="342">
        <f t="shared" si="23"/>
        <v>0</v>
      </c>
      <c r="V52" s="342">
        <f t="shared" si="23"/>
        <v>0</v>
      </c>
      <c r="W52" s="342">
        <f t="shared" si="23"/>
        <v>46146370401.150002</v>
      </c>
      <c r="X52" s="342">
        <f t="shared" si="23"/>
        <v>46132360556.5</v>
      </c>
      <c r="Y52" s="342">
        <f t="shared" si="23"/>
        <v>26756100432.939999</v>
      </c>
      <c r="Z52" s="342">
        <f t="shared" si="23"/>
        <v>26756100432.939999</v>
      </c>
      <c r="AA52" s="342">
        <f t="shared" si="23"/>
        <v>0</v>
      </c>
      <c r="AB52" s="342">
        <f t="shared" si="23"/>
        <v>0</v>
      </c>
      <c r="AC52" s="342">
        <f t="shared" si="23"/>
        <v>0</v>
      </c>
      <c r="AD52" s="342">
        <f t="shared" si="23"/>
        <v>0</v>
      </c>
      <c r="AE52" s="342">
        <f t="shared" si="23"/>
        <v>350731033.30000001</v>
      </c>
      <c r="AF52" s="342">
        <f t="shared" si="23"/>
        <v>290000000</v>
      </c>
      <c r="AG52" s="342">
        <f t="shared" si="23"/>
        <v>15000000</v>
      </c>
      <c r="AH52" s="342">
        <f t="shared" si="23"/>
        <v>0</v>
      </c>
      <c r="AI52" s="342">
        <f t="shared" si="23"/>
        <v>0</v>
      </c>
      <c r="AJ52" s="342">
        <f t="shared" si="23"/>
        <v>0</v>
      </c>
      <c r="AK52" s="342">
        <f t="shared" si="23"/>
        <v>0</v>
      </c>
      <c r="AL52" s="342">
        <f t="shared" si="23"/>
        <v>0</v>
      </c>
      <c r="AM52" s="342">
        <f t="shared" si="23"/>
        <v>2793648556</v>
      </c>
      <c r="AN52" s="342">
        <f t="shared" si="23"/>
        <v>2793076754</v>
      </c>
      <c r="AO52" s="342">
        <f t="shared" si="23"/>
        <v>0</v>
      </c>
      <c r="AP52" s="342">
        <f t="shared" si="23"/>
        <v>0</v>
      </c>
      <c r="AQ52" s="342">
        <f t="shared" si="23"/>
        <v>0</v>
      </c>
      <c r="AR52" s="342">
        <f t="shared" si="23"/>
        <v>0</v>
      </c>
      <c r="AS52" s="342">
        <f t="shared" si="23"/>
        <v>0</v>
      </c>
      <c r="AT52" s="342">
        <f t="shared" si="23"/>
        <v>0</v>
      </c>
      <c r="AU52" s="342">
        <f t="shared" si="23"/>
        <v>0</v>
      </c>
      <c r="AV52" s="342">
        <f t="shared" si="23"/>
        <v>0</v>
      </c>
      <c r="AW52" s="342">
        <f t="shared" si="23"/>
        <v>0</v>
      </c>
      <c r="AX52" s="342">
        <f t="shared" si="23"/>
        <v>0</v>
      </c>
      <c r="AY52" s="342">
        <f t="shared" si="23"/>
        <v>0</v>
      </c>
      <c r="AZ52" s="342">
        <f t="shared" si="23"/>
        <v>0</v>
      </c>
      <c r="BA52" s="342">
        <f t="shared" si="23"/>
        <v>0</v>
      </c>
      <c r="BB52" s="342">
        <f t="shared" si="23"/>
        <v>0</v>
      </c>
      <c r="BC52" s="342">
        <f t="shared" si="23"/>
        <v>0</v>
      </c>
      <c r="BD52" s="342">
        <f t="shared" si="23"/>
        <v>0</v>
      </c>
      <c r="BE52" s="342">
        <f t="shared" si="23"/>
        <v>0</v>
      </c>
      <c r="BF52" s="342">
        <f t="shared" si="23"/>
        <v>0</v>
      </c>
      <c r="BG52" s="342">
        <f t="shared" si="5"/>
        <v>51727520792.610001</v>
      </c>
      <c r="BH52" s="342">
        <f t="shared" si="5"/>
        <v>51620364355.660004</v>
      </c>
      <c r="BI52" s="342">
        <f t="shared" si="5"/>
        <v>29171047776.289997</v>
      </c>
      <c r="BJ52" s="342">
        <f t="shared" si="5"/>
        <v>29156047776.289997</v>
      </c>
      <c r="BK52" s="287"/>
    </row>
    <row r="53" spans="1:64" ht="45.75" customHeight="1" x14ac:dyDescent="0.2">
      <c r="A53" s="303" t="s">
        <v>2030</v>
      </c>
      <c r="B53" s="343">
        <f t="shared" ref="B53:AD53" si="24">SUM(B54:B56)</f>
        <v>346946019.30000001</v>
      </c>
      <c r="C53" s="343">
        <f t="shared" si="24"/>
        <v>198188746</v>
      </c>
      <c r="D53" s="343">
        <f t="shared" si="24"/>
        <v>197740584</v>
      </c>
      <c r="E53" s="343">
        <f t="shared" si="24"/>
        <v>197740584</v>
      </c>
      <c r="F53" s="343">
        <f t="shared" si="24"/>
        <v>197740584</v>
      </c>
      <c r="G53" s="343">
        <f t="shared" si="24"/>
        <v>88026240</v>
      </c>
      <c r="H53" s="343">
        <f t="shared" si="24"/>
        <v>68026240</v>
      </c>
      <c r="I53" s="343">
        <f t="shared" si="24"/>
        <v>68026240</v>
      </c>
      <c r="J53" s="343">
        <f t="shared" si="24"/>
        <v>68026240</v>
      </c>
      <c r="K53" s="343">
        <f t="shared" si="24"/>
        <v>0</v>
      </c>
      <c r="L53" s="343">
        <f t="shared" si="24"/>
        <v>0</v>
      </c>
      <c r="M53" s="343">
        <f t="shared" si="24"/>
        <v>0</v>
      </c>
      <c r="N53" s="343">
        <f t="shared" si="24"/>
        <v>0</v>
      </c>
      <c r="O53" s="343">
        <f t="shared" si="24"/>
        <v>0</v>
      </c>
      <c r="P53" s="343">
        <f t="shared" si="24"/>
        <v>0</v>
      </c>
      <c r="Q53" s="343">
        <f t="shared" si="24"/>
        <v>0</v>
      </c>
      <c r="R53" s="343">
        <f t="shared" si="24"/>
        <v>0</v>
      </c>
      <c r="S53" s="343">
        <f t="shared" si="24"/>
        <v>0</v>
      </c>
      <c r="T53" s="343">
        <f t="shared" si="24"/>
        <v>0</v>
      </c>
      <c r="U53" s="343">
        <f t="shared" si="24"/>
        <v>0</v>
      </c>
      <c r="V53" s="343">
        <f t="shared" si="24"/>
        <v>0</v>
      </c>
      <c r="W53" s="343">
        <f t="shared" si="24"/>
        <v>0</v>
      </c>
      <c r="X53" s="343">
        <f t="shared" si="24"/>
        <v>0</v>
      </c>
      <c r="Y53" s="343">
        <f t="shared" si="24"/>
        <v>0</v>
      </c>
      <c r="Z53" s="343">
        <f t="shared" si="24"/>
        <v>0</v>
      </c>
      <c r="AA53" s="343">
        <f t="shared" si="24"/>
        <v>0</v>
      </c>
      <c r="AB53" s="343">
        <f t="shared" si="24"/>
        <v>0</v>
      </c>
      <c r="AC53" s="343">
        <f t="shared" si="24"/>
        <v>0</v>
      </c>
      <c r="AD53" s="343">
        <f t="shared" si="24"/>
        <v>0</v>
      </c>
      <c r="AE53" s="343">
        <f t="shared" ref="AE53:BF53" si="25">SUM(AE54:AE56)</f>
        <v>60731033.299999997</v>
      </c>
      <c r="AF53" s="343">
        <f t="shared" si="25"/>
        <v>0</v>
      </c>
      <c r="AG53" s="343">
        <f t="shared" si="25"/>
        <v>0</v>
      </c>
      <c r="AH53" s="343">
        <f t="shared" si="25"/>
        <v>0</v>
      </c>
      <c r="AI53" s="343">
        <f t="shared" si="25"/>
        <v>0</v>
      </c>
      <c r="AJ53" s="343">
        <f t="shared" si="25"/>
        <v>0</v>
      </c>
      <c r="AK53" s="343">
        <f t="shared" si="25"/>
        <v>0</v>
      </c>
      <c r="AL53" s="343">
        <f t="shared" si="25"/>
        <v>0</v>
      </c>
      <c r="AM53" s="343">
        <f t="shared" si="25"/>
        <v>0</v>
      </c>
      <c r="AN53" s="343">
        <f t="shared" si="25"/>
        <v>0</v>
      </c>
      <c r="AO53" s="343">
        <f t="shared" si="25"/>
        <v>0</v>
      </c>
      <c r="AP53" s="343">
        <f t="shared" si="25"/>
        <v>0</v>
      </c>
      <c r="AQ53" s="343">
        <f t="shared" si="25"/>
        <v>0</v>
      </c>
      <c r="AR53" s="343">
        <f t="shared" si="25"/>
        <v>0</v>
      </c>
      <c r="AS53" s="343">
        <f t="shared" si="25"/>
        <v>0</v>
      </c>
      <c r="AT53" s="343">
        <f t="shared" si="25"/>
        <v>0</v>
      </c>
      <c r="AU53" s="343">
        <f t="shared" si="25"/>
        <v>0</v>
      </c>
      <c r="AV53" s="343">
        <f t="shared" si="25"/>
        <v>0</v>
      </c>
      <c r="AW53" s="343">
        <f t="shared" si="25"/>
        <v>0</v>
      </c>
      <c r="AX53" s="343">
        <f t="shared" si="25"/>
        <v>0</v>
      </c>
      <c r="AY53" s="343">
        <f t="shared" si="25"/>
        <v>0</v>
      </c>
      <c r="AZ53" s="343">
        <f t="shared" si="25"/>
        <v>0</v>
      </c>
      <c r="BA53" s="343">
        <f t="shared" si="25"/>
        <v>0</v>
      </c>
      <c r="BB53" s="343">
        <f t="shared" si="25"/>
        <v>0</v>
      </c>
      <c r="BC53" s="343">
        <f t="shared" si="25"/>
        <v>0</v>
      </c>
      <c r="BD53" s="343">
        <f t="shared" si="25"/>
        <v>0</v>
      </c>
      <c r="BE53" s="343">
        <f t="shared" si="25"/>
        <v>0</v>
      </c>
      <c r="BF53" s="343">
        <f t="shared" si="25"/>
        <v>0</v>
      </c>
      <c r="BG53" s="343">
        <f t="shared" si="5"/>
        <v>346946019.30000001</v>
      </c>
      <c r="BH53" s="343">
        <f t="shared" si="5"/>
        <v>265766824</v>
      </c>
      <c r="BI53" s="343">
        <f t="shared" si="5"/>
        <v>265766824</v>
      </c>
      <c r="BJ53" s="343">
        <f t="shared" si="5"/>
        <v>265766824</v>
      </c>
      <c r="BK53" s="291">
        <f>+SUM(BG54:BG56)-BG53</f>
        <v>0</v>
      </c>
      <c r="BL53" s="292">
        <f>+BG53-B53</f>
        <v>0</v>
      </c>
    </row>
    <row r="54" spans="1:64" ht="45.75" customHeight="1" x14ac:dyDescent="0.2">
      <c r="A54" s="297" t="s">
        <v>2031</v>
      </c>
      <c r="B54" s="344">
        <f>+SUM([12]InfMesPptoCDP.rpt!$F$518:$F$521,[12]InfMesPptoCDP.rpt!$F$258:$F$263,[12]InfMesPptoCDP.rpt!$F$268:$F$270)</f>
        <v>346946019.30000001</v>
      </c>
      <c r="C54" s="347">
        <f>198188746/2</f>
        <v>99094373</v>
      </c>
      <c r="D54" s="347">
        <f>197740584/2</f>
        <v>98870292</v>
      </c>
      <c r="E54" s="347">
        <f>197740584/2</f>
        <v>98870292</v>
      </c>
      <c r="F54" s="347">
        <f>197740584/2</f>
        <v>98870292</v>
      </c>
      <c r="G54" s="347">
        <f>88026240/2</f>
        <v>44013120</v>
      </c>
      <c r="H54" s="347">
        <f>68026240/2</f>
        <v>34013120</v>
      </c>
      <c r="I54" s="347">
        <f>68026240/2</f>
        <v>34013120</v>
      </c>
      <c r="J54" s="347">
        <f>68026240/2</f>
        <v>34013120</v>
      </c>
      <c r="K54" s="348">
        <v>0</v>
      </c>
      <c r="L54" s="348">
        <v>0</v>
      </c>
      <c r="M54" s="348">
        <v>0</v>
      </c>
      <c r="N54" s="348">
        <v>0</v>
      </c>
      <c r="O54" s="348">
        <v>0</v>
      </c>
      <c r="P54" s="348">
        <v>0</v>
      </c>
      <c r="Q54" s="348">
        <v>0</v>
      </c>
      <c r="R54" s="348">
        <v>0</v>
      </c>
      <c r="S54" s="348">
        <v>0</v>
      </c>
      <c r="T54" s="348">
        <v>0</v>
      </c>
      <c r="U54" s="348">
        <v>0</v>
      </c>
      <c r="V54" s="348">
        <v>0</v>
      </c>
      <c r="W54" s="348">
        <v>0</v>
      </c>
      <c r="X54" s="348">
        <v>0</v>
      </c>
      <c r="Y54" s="348">
        <v>0</v>
      </c>
      <c r="Z54" s="348">
        <v>0</v>
      </c>
      <c r="AA54" s="348">
        <v>0</v>
      </c>
      <c r="AB54" s="348">
        <v>0</v>
      </c>
      <c r="AC54" s="348">
        <v>0</v>
      </c>
      <c r="AD54" s="348">
        <v>0</v>
      </c>
      <c r="AE54" s="347">
        <f>60731033.3/2</f>
        <v>30365516.649999999</v>
      </c>
      <c r="AF54" s="347">
        <f>+[12]InfMesPptoCDP.rpt!$Q$517</f>
        <v>0</v>
      </c>
      <c r="AG54" s="347">
        <f>+[12]InfMesPptoCDP.rpt!$R$517</f>
        <v>0</v>
      </c>
      <c r="AH54" s="347">
        <f>+[12]InfMesPptoCDP.rpt!$S$517</f>
        <v>0</v>
      </c>
      <c r="AI54" s="348">
        <v>0</v>
      </c>
      <c r="AJ54" s="348">
        <v>0</v>
      </c>
      <c r="AK54" s="348">
        <v>0</v>
      </c>
      <c r="AL54" s="348">
        <v>0</v>
      </c>
      <c r="AM54" s="348">
        <v>0</v>
      </c>
      <c r="AN54" s="348">
        <v>0</v>
      </c>
      <c r="AO54" s="348">
        <v>0</v>
      </c>
      <c r="AP54" s="348">
        <v>0</v>
      </c>
      <c r="AQ54" s="348">
        <v>0</v>
      </c>
      <c r="AR54" s="348">
        <v>0</v>
      </c>
      <c r="AS54" s="348">
        <v>0</v>
      </c>
      <c r="AT54" s="348">
        <v>0</v>
      </c>
      <c r="AU54" s="348">
        <v>0</v>
      </c>
      <c r="AV54" s="348">
        <v>0</v>
      </c>
      <c r="AW54" s="348">
        <v>0</v>
      </c>
      <c r="AX54" s="348">
        <v>0</v>
      </c>
      <c r="AY54" s="348">
        <v>0</v>
      </c>
      <c r="AZ54" s="348">
        <v>0</v>
      </c>
      <c r="BA54" s="348">
        <v>0</v>
      </c>
      <c r="BB54" s="348">
        <v>0</v>
      </c>
      <c r="BC54" s="348">
        <v>0</v>
      </c>
      <c r="BD54" s="348">
        <v>0</v>
      </c>
      <c r="BE54" s="348">
        <v>0</v>
      </c>
      <c r="BF54" s="348">
        <v>0</v>
      </c>
      <c r="BG54" s="347">
        <f t="shared" si="5"/>
        <v>173473009.65000001</v>
      </c>
      <c r="BH54" s="347">
        <f t="shared" si="5"/>
        <v>132883412</v>
      </c>
      <c r="BI54" s="347">
        <f t="shared" si="5"/>
        <v>132883412</v>
      </c>
      <c r="BJ54" s="347">
        <f t="shared" si="5"/>
        <v>132883412</v>
      </c>
      <c r="BK54" s="287"/>
    </row>
    <row r="55" spans="1:64" ht="45.75" customHeight="1" x14ac:dyDescent="0.2">
      <c r="A55" s="297" t="s">
        <v>2032</v>
      </c>
      <c r="B55" s="346"/>
      <c r="C55" s="347">
        <v>99094373</v>
      </c>
      <c r="D55" s="347">
        <v>98870292</v>
      </c>
      <c r="E55" s="347">
        <v>98870292</v>
      </c>
      <c r="F55" s="347">
        <v>98870292</v>
      </c>
      <c r="G55" s="347">
        <v>44013120</v>
      </c>
      <c r="H55" s="347">
        <v>34013120</v>
      </c>
      <c r="I55" s="347">
        <v>34013120</v>
      </c>
      <c r="J55" s="347">
        <v>34013120</v>
      </c>
      <c r="K55" s="348">
        <v>0</v>
      </c>
      <c r="L55" s="348">
        <v>0</v>
      </c>
      <c r="M55" s="348">
        <v>0</v>
      </c>
      <c r="N55" s="348">
        <v>0</v>
      </c>
      <c r="O55" s="348">
        <v>0</v>
      </c>
      <c r="P55" s="348">
        <v>0</v>
      </c>
      <c r="Q55" s="348">
        <v>0</v>
      </c>
      <c r="R55" s="348">
        <v>0</v>
      </c>
      <c r="S55" s="348">
        <v>0</v>
      </c>
      <c r="T55" s="348">
        <v>0</v>
      </c>
      <c r="U55" s="348">
        <v>0</v>
      </c>
      <c r="V55" s="348">
        <v>0</v>
      </c>
      <c r="W55" s="348">
        <v>0</v>
      </c>
      <c r="X55" s="348">
        <v>0</v>
      </c>
      <c r="Y55" s="348">
        <v>0</v>
      </c>
      <c r="Z55" s="348">
        <v>0</v>
      </c>
      <c r="AA55" s="348">
        <v>0</v>
      </c>
      <c r="AB55" s="348">
        <v>0</v>
      </c>
      <c r="AC55" s="348">
        <v>0</v>
      </c>
      <c r="AD55" s="348">
        <v>0</v>
      </c>
      <c r="AE55" s="347">
        <v>30365516.649999999</v>
      </c>
      <c r="AF55" s="347">
        <v>0</v>
      </c>
      <c r="AG55" s="347">
        <v>0</v>
      </c>
      <c r="AH55" s="347">
        <v>0</v>
      </c>
      <c r="AI55" s="348">
        <v>0</v>
      </c>
      <c r="AJ55" s="348">
        <v>0</v>
      </c>
      <c r="AK55" s="348">
        <v>0</v>
      </c>
      <c r="AL55" s="348">
        <v>0</v>
      </c>
      <c r="AM55" s="348">
        <v>0</v>
      </c>
      <c r="AN55" s="348">
        <v>0</v>
      </c>
      <c r="AO55" s="348">
        <v>0</v>
      </c>
      <c r="AP55" s="348">
        <v>0</v>
      </c>
      <c r="AQ55" s="348">
        <v>0</v>
      </c>
      <c r="AR55" s="348">
        <v>0</v>
      </c>
      <c r="AS55" s="348">
        <v>0</v>
      </c>
      <c r="AT55" s="348">
        <v>0</v>
      </c>
      <c r="AU55" s="348">
        <v>0</v>
      </c>
      <c r="AV55" s="348">
        <v>0</v>
      </c>
      <c r="AW55" s="348">
        <v>0</v>
      </c>
      <c r="AX55" s="348">
        <v>0</v>
      </c>
      <c r="AY55" s="348">
        <v>0</v>
      </c>
      <c r="AZ55" s="348">
        <v>0</v>
      </c>
      <c r="BA55" s="348">
        <v>0</v>
      </c>
      <c r="BB55" s="348">
        <v>0</v>
      </c>
      <c r="BC55" s="348">
        <v>0</v>
      </c>
      <c r="BD55" s="348">
        <v>0</v>
      </c>
      <c r="BE55" s="348">
        <v>0</v>
      </c>
      <c r="BF55" s="348">
        <v>0</v>
      </c>
      <c r="BG55" s="347">
        <f t="shared" si="5"/>
        <v>173473009.65000001</v>
      </c>
      <c r="BH55" s="347">
        <f t="shared" si="5"/>
        <v>132883412</v>
      </c>
      <c r="BI55" s="347">
        <f t="shared" si="5"/>
        <v>132883412</v>
      </c>
      <c r="BJ55" s="347">
        <f t="shared" si="5"/>
        <v>132883412</v>
      </c>
      <c r="BK55" s="287"/>
    </row>
    <row r="56" spans="1:64" ht="45.75" customHeight="1" x14ac:dyDescent="0.2">
      <c r="A56" s="293" t="s">
        <v>2033</v>
      </c>
      <c r="B56" s="349"/>
      <c r="C56" s="345">
        <v>0</v>
      </c>
      <c r="D56" s="345">
        <v>0</v>
      </c>
      <c r="E56" s="345">
        <v>0</v>
      </c>
      <c r="F56" s="345">
        <v>0</v>
      </c>
      <c r="G56" s="345">
        <v>0</v>
      </c>
      <c r="H56" s="345">
        <v>0</v>
      </c>
      <c r="I56" s="345">
        <v>0</v>
      </c>
      <c r="J56" s="345">
        <v>0</v>
      </c>
      <c r="K56" s="345">
        <v>0</v>
      </c>
      <c r="L56" s="345">
        <v>0</v>
      </c>
      <c r="M56" s="345">
        <v>0</v>
      </c>
      <c r="N56" s="345">
        <v>0</v>
      </c>
      <c r="O56" s="345">
        <v>0</v>
      </c>
      <c r="P56" s="345">
        <v>0</v>
      </c>
      <c r="Q56" s="345">
        <v>0</v>
      </c>
      <c r="R56" s="345">
        <v>0</v>
      </c>
      <c r="S56" s="345">
        <v>0</v>
      </c>
      <c r="T56" s="345">
        <v>0</v>
      </c>
      <c r="U56" s="345">
        <v>0</v>
      </c>
      <c r="V56" s="345">
        <v>0</v>
      </c>
      <c r="W56" s="345">
        <v>0</v>
      </c>
      <c r="X56" s="345">
        <v>0</v>
      </c>
      <c r="Y56" s="345">
        <v>0</v>
      </c>
      <c r="Z56" s="345">
        <v>0</v>
      </c>
      <c r="AA56" s="345">
        <v>0</v>
      </c>
      <c r="AB56" s="345">
        <v>0</v>
      </c>
      <c r="AC56" s="345">
        <v>0</v>
      </c>
      <c r="AD56" s="345">
        <v>0</v>
      </c>
      <c r="AE56" s="345">
        <v>0</v>
      </c>
      <c r="AF56" s="345">
        <v>0</v>
      </c>
      <c r="AG56" s="345">
        <v>0</v>
      </c>
      <c r="AH56" s="345">
        <v>0</v>
      </c>
      <c r="AI56" s="345">
        <v>0</v>
      </c>
      <c r="AJ56" s="345">
        <v>0</v>
      </c>
      <c r="AK56" s="345">
        <v>0</v>
      </c>
      <c r="AL56" s="345">
        <v>0</v>
      </c>
      <c r="AM56" s="345">
        <v>0</v>
      </c>
      <c r="AN56" s="345">
        <v>0</v>
      </c>
      <c r="AO56" s="345">
        <v>0</v>
      </c>
      <c r="AP56" s="345">
        <v>0</v>
      </c>
      <c r="AQ56" s="345">
        <v>0</v>
      </c>
      <c r="AR56" s="345">
        <v>0</v>
      </c>
      <c r="AS56" s="345">
        <v>0</v>
      </c>
      <c r="AT56" s="345">
        <v>0</v>
      </c>
      <c r="AU56" s="345">
        <v>0</v>
      </c>
      <c r="AV56" s="345">
        <v>0</v>
      </c>
      <c r="AW56" s="345">
        <v>0</v>
      </c>
      <c r="AX56" s="345">
        <v>0</v>
      </c>
      <c r="AY56" s="345">
        <v>0</v>
      </c>
      <c r="AZ56" s="345">
        <v>0</v>
      </c>
      <c r="BA56" s="345">
        <v>0</v>
      </c>
      <c r="BB56" s="345">
        <v>0</v>
      </c>
      <c r="BC56" s="345">
        <v>0</v>
      </c>
      <c r="BD56" s="345">
        <v>0</v>
      </c>
      <c r="BE56" s="345">
        <v>0</v>
      </c>
      <c r="BF56" s="345">
        <v>0</v>
      </c>
      <c r="BG56" s="345">
        <f t="shared" si="5"/>
        <v>0</v>
      </c>
      <c r="BH56" s="345">
        <f t="shared" si="5"/>
        <v>0</v>
      </c>
      <c r="BI56" s="345">
        <f t="shared" si="5"/>
        <v>0</v>
      </c>
      <c r="BJ56" s="345">
        <f t="shared" si="5"/>
        <v>0</v>
      </c>
      <c r="BK56" s="302">
        <f>+SUM(BG54:BG56)-B54</f>
        <v>0</v>
      </c>
    </row>
    <row r="57" spans="1:64" ht="45.75" customHeight="1" x14ac:dyDescent="0.2">
      <c r="A57" s="303" t="s">
        <v>2034</v>
      </c>
      <c r="B57" s="343">
        <f t="shared" ref="B57:O57" si="26">SUM(B58:B62)</f>
        <v>37078539006.309998</v>
      </c>
      <c r="C57" s="343">
        <f t="shared" si="26"/>
        <v>1803996176.1600001</v>
      </c>
      <c r="D57" s="343">
        <f t="shared" si="26"/>
        <v>1796633775.1600001</v>
      </c>
      <c r="E57" s="343">
        <f t="shared" si="26"/>
        <v>1791654073.3499999</v>
      </c>
      <c r="F57" s="343">
        <f t="shared" si="26"/>
        <v>1791654073.3499999</v>
      </c>
      <c r="G57" s="343">
        <f t="shared" si="26"/>
        <v>346559640</v>
      </c>
      <c r="H57" s="343">
        <f t="shared" si="26"/>
        <v>342526446</v>
      </c>
      <c r="I57" s="343">
        <f t="shared" si="26"/>
        <v>342526446</v>
      </c>
      <c r="J57" s="343">
        <f t="shared" si="26"/>
        <v>342526446</v>
      </c>
      <c r="K57" s="343">
        <f t="shared" si="26"/>
        <v>0</v>
      </c>
      <c r="L57" s="343">
        <f t="shared" si="26"/>
        <v>0</v>
      </c>
      <c r="M57" s="343">
        <f t="shared" si="26"/>
        <v>0</v>
      </c>
      <c r="N57" s="343">
        <f t="shared" si="26"/>
        <v>0</v>
      </c>
      <c r="O57" s="343">
        <f t="shared" si="26"/>
        <v>0</v>
      </c>
      <c r="P57" s="343">
        <f t="shared" ref="P57:BF57" si="27">SUM(P58:P62)</f>
        <v>0</v>
      </c>
      <c r="Q57" s="343">
        <f t="shared" si="27"/>
        <v>0</v>
      </c>
      <c r="R57" s="343">
        <f t="shared" si="27"/>
        <v>0</v>
      </c>
      <c r="S57" s="343">
        <f t="shared" si="27"/>
        <v>0</v>
      </c>
      <c r="T57" s="343">
        <f t="shared" si="27"/>
        <v>0</v>
      </c>
      <c r="U57" s="343">
        <f t="shared" si="27"/>
        <v>0</v>
      </c>
      <c r="V57" s="343">
        <f t="shared" si="27"/>
        <v>0</v>
      </c>
      <c r="W57" s="343">
        <f t="shared" si="27"/>
        <v>31844334634.150002</v>
      </c>
      <c r="X57" s="343">
        <f t="shared" si="27"/>
        <v>31831758551.5</v>
      </c>
      <c r="Y57" s="343">
        <f t="shared" si="27"/>
        <v>21357091133.139999</v>
      </c>
      <c r="Z57" s="343">
        <f t="shared" si="27"/>
        <v>21357091133.139999</v>
      </c>
      <c r="AA57" s="343">
        <f t="shared" si="27"/>
        <v>0</v>
      </c>
      <c r="AB57" s="343">
        <f t="shared" si="27"/>
        <v>0</v>
      </c>
      <c r="AC57" s="343">
        <f t="shared" si="27"/>
        <v>0</v>
      </c>
      <c r="AD57" s="343">
        <f t="shared" si="27"/>
        <v>0</v>
      </c>
      <c r="AE57" s="343">
        <f t="shared" si="27"/>
        <v>290000000</v>
      </c>
      <c r="AF57" s="343">
        <f t="shared" si="27"/>
        <v>290000000</v>
      </c>
      <c r="AG57" s="343">
        <f t="shared" si="27"/>
        <v>15000000</v>
      </c>
      <c r="AH57" s="343">
        <f t="shared" si="27"/>
        <v>0</v>
      </c>
      <c r="AI57" s="343">
        <f t="shared" si="27"/>
        <v>0</v>
      </c>
      <c r="AJ57" s="343">
        <f t="shared" si="27"/>
        <v>0</v>
      </c>
      <c r="AK57" s="343">
        <f t="shared" si="27"/>
        <v>0</v>
      </c>
      <c r="AL57" s="343">
        <f t="shared" si="27"/>
        <v>0</v>
      </c>
      <c r="AM57" s="343">
        <f t="shared" si="27"/>
        <v>2793648556</v>
      </c>
      <c r="AN57" s="343">
        <f t="shared" si="27"/>
        <v>2793076754</v>
      </c>
      <c r="AO57" s="343">
        <f t="shared" si="27"/>
        <v>0</v>
      </c>
      <c r="AP57" s="343">
        <f t="shared" si="27"/>
        <v>0</v>
      </c>
      <c r="AQ57" s="343">
        <f t="shared" si="27"/>
        <v>0</v>
      </c>
      <c r="AR57" s="343">
        <f t="shared" si="27"/>
        <v>0</v>
      </c>
      <c r="AS57" s="343">
        <f t="shared" si="27"/>
        <v>0</v>
      </c>
      <c r="AT57" s="343">
        <f t="shared" si="27"/>
        <v>0</v>
      </c>
      <c r="AU57" s="343">
        <f t="shared" si="27"/>
        <v>0</v>
      </c>
      <c r="AV57" s="343">
        <f t="shared" si="27"/>
        <v>0</v>
      </c>
      <c r="AW57" s="343">
        <f t="shared" si="27"/>
        <v>0</v>
      </c>
      <c r="AX57" s="343">
        <f t="shared" si="27"/>
        <v>0</v>
      </c>
      <c r="AY57" s="343">
        <f t="shared" si="27"/>
        <v>0</v>
      </c>
      <c r="AZ57" s="343">
        <f t="shared" si="27"/>
        <v>0</v>
      </c>
      <c r="BA57" s="343">
        <f t="shared" si="27"/>
        <v>0</v>
      </c>
      <c r="BB57" s="343">
        <f t="shared" si="27"/>
        <v>0</v>
      </c>
      <c r="BC57" s="343">
        <f t="shared" si="27"/>
        <v>0</v>
      </c>
      <c r="BD57" s="343">
        <f t="shared" si="27"/>
        <v>0</v>
      </c>
      <c r="BE57" s="343">
        <f t="shared" si="27"/>
        <v>0</v>
      </c>
      <c r="BF57" s="343">
        <f t="shared" si="27"/>
        <v>0</v>
      </c>
      <c r="BG57" s="343">
        <f t="shared" si="5"/>
        <v>37078539006.309998</v>
      </c>
      <c r="BH57" s="343">
        <f t="shared" si="5"/>
        <v>37053995526.660004</v>
      </c>
      <c r="BI57" s="343">
        <f t="shared" si="5"/>
        <v>23506271652.489998</v>
      </c>
      <c r="BJ57" s="343">
        <f t="shared" si="5"/>
        <v>23491271652.489998</v>
      </c>
      <c r="BK57" s="291">
        <f>+SUM(BG58:BG62)-BG57</f>
        <v>0</v>
      </c>
      <c r="BL57" s="292">
        <f>+BG57-B57</f>
        <v>0</v>
      </c>
    </row>
    <row r="58" spans="1:64" ht="45.75" customHeight="1" x14ac:dyDescent="0.2">
      <c r="A58" s="297" t="s">
        <v>2035</v>
      </c>
      <c r="B58" s="344">
        <f>1833358688.16+26525848532.25+8112134657.9+607197128</f>
        <v>37078539006.309998</v>
      </c>
      <c r="C58" s="347">
        <f>+SUM([4]INFORME_PCT!$F$85,[4]INFORME_PCT!$F$87,[4]INFORME_PCT!$F$89)</f>
        <v>96045633</v>
      </c>
      <c r="D58" s="347">
        <f>+SUM([4]INFORME_PCT!$H$85,[4]INFORME_PCT!$H$87,[4]INFORME_PCT!$H$89)</f>
        <v>96045633</v>
      </c>
      <c r="E58" s="347">
        <f>+SUM([4]INFORME_PCT!$I$85,[4]INFORME_PCT!$I$87,[4]INFORME_PCT!$I$89)</f>
        <v>96045633</v>
      </c>
      <c r="F58" s="347">
        <f>+SUM([4]INFORME_PCT!$J$85,[4]INFORME_PCT!$J$87,[4]INFORME_PCT!$J$89)</f>
        <v>96045633</v>
      </c>
      <c r="G58" s="347">
        <f>+SUM([4]INFORME_PCT!$F$86,[4]INFORME_PCT!$F$88,[4]INFORME_PCT!$F$90)</f>
        <v>84902600</v>
      </c>
      <c r="H58" s="347">
        <f>+SUM([4]INFORME_PCT!$H$86,[4]INFORME_PCT!$H$88,[4]INFORME_PCT!$H$90)</f>
        <v>83502740</v>
      </c>
      <c r="I58" s="347">
        <f>+SUM([4]INFORME_PCT!$I$86,[4]INFORME_PCT!$I$88,[4]INFORME_PCT!$I$90)</f>
        <v>83502740</v>
      </c>
      <c r="J58" s="347">
        <f>+SUM([4]INFORME_PCT!$J$86,[4]INFORME_PCT!$J$88,[4]INFORME_PCT!$J$90)</f>
        <v>83502740</v>
      </c>
      <c r="K58" s="348">
        <v>0</v>
      </c>
      <c r="L58" s="348">
        <v>0</v>
      </c>
      <c r="M58" s="348">
        <v>0</v>
      </c>
      <c r="N58" s="348">
        <v>0</v>
      </c>
      <c r="O58" s="348">
        <v>0</v>
      </c>
      <c r="P58" s="348">
        <v>0</v>
      </c>
      <c r="Q58" s="348">
        <v>0</v>
      </c>
      <c r="R58" s="348">
        <v>0</v>
      </c>
      <c r="S58" s="348">
        <v>0</v>
      </c>
      <c r="T58" s="348">
        <v>0</v>
      </c>
      <c r="U58" s="348">
        <v>0</v>
      </c>
      <c r="V58" s="348">
        <v>0</v>
      </c>
      <c r="W58" s="348">
        <v>0</v>
      </c>
      <c r="X58" s="348">
        <v>0</v>
      </c>
      <c r="Y58" s="348">
        <v>0</v>
      </c>
      <c r="Z58" s="348">
        <v>0</v>
      </c>
      <c r="AA58" s="348">
        <v>0</v>
      </c>
      <c r="AB58" s="348">
        <v>0</v>
      </c>
      <c r="AC58" s="348">
        <v>0</v>
      </c>
      <c r="AD58" s="348">
        <v>0</v>
      </c>
      <c r="AE58" s="348">
        <v>0</v>
      </c>
      <c r="AF58" s="348">
        <v>0</v>
      </c>
      <c r="AG58" s="348">
        <v>0</v>
      </c>
      <c r="AH58" s="348">
        <v>0</v>
      </c>
      <c r="AI58" s="348">
        <v>0</v>
      </c>
      <c r="AJ58" s="348">
        <v>0</v>
      </c>
      <c r="AK58" s="348">
        <v>0</v>
      </c>
      <c r="AL58" s="348">
        <v>0</v>
      </c>
      <c r="AM58" s="348">
        <v>0</v>
      </c>
      <c r="AN58" s="348">
        <v>0</v>
      </c>
      <c r="AO58" s="348">
        <v>0</v>
      </c>
      <c r="AP58" s="348">
        <v>0</v>
      </c>
      <c r="AQ58" s="348">
        <v>0</v>
      </c>
      <c r="AR58" s="348">
        <v>0</v>
      </c>
      <c r="AS58" s="348">
        <v>0</v>
      </c>
      <c r="AT58" s="348">
        <v>0</v>
      </c>
      <c r="AU58" s="348">
        <v>0</v>
      </c>
      <c r="AV58" s="348">
        <v>0</v>
      </c>
      <c r="AW58" s="348">
        <v>0</v>
      </c>
      <c r="AX58" s="348">
        <v>0</v>
      </c>
      <c r="AY58" s="348">
        <v>0</v>
      </c>
      <c r="AZ58" s="348">
        <v>0</v>
      </c>
      <c r="BA58" s="348">
        <v>0</v>
      </c>
      <c r="BB58" s="348">
        <v>0</v>
      </c>
      <c r="BC58" s="348">
        <v>0</v>
      </c>
      <c r="BD58" s="348">
        <v>0</v>
      </c>
      <c r="BE58" s="348">
        <v>0</v>
      </c>
      <c r="BF58" s="348">
        <v>0</v>
      </c>
      <c r="BG58" s="347">
        <f t="shared" si="5"/>
        <v>180948233</v>
      </c>
      <c r="BH58" s="347">
        <f t="shared" si="5"/>
        <v>179548373</v>
      </c>
      <c r="BI58" s="347">
        <f t="shared" si="5"/>
        <v>179548373</v>
      </c>
      <c r="BJ58" s="347">
        <f t="shared" si="5"/>
        <v>179548373</v>
      </c>
      <c r="BK58" s="287"/>
    </row>
    <row r="59" spans="1:64" ht="45.75" customHeight="1" x14ac:dyDescent="0.2">
      <c r="A59" s="305" t="s">
        <v>2036</v>
      </c>
      <c r="B59" s="346"/>
      <c r="C59" s="347">
        <f>+SUM([4]INFORME_PCT!$F$105,[4]INFORME_PCT!$F$106,[4]INFORME_PCT!$F$107)</f>
        <v>1243470255.1600001</v>
      </c>
      <c r="D59" s="347">
        <f>+SUM([4]INFORME_PCT!$H$105,[4]INFORME_PCT!$H$106,[4]INFORME_PCT!$H$107)</f>
        <v>1242997950.1600001</v>
      </c>
      <c r="E59" s="347">
        <f>+SUM([4]INFORME_PCT!$I$105,[4]INFORME_PCT!$I$106,[4]INFORME_PCT!$I$107)</f>
        <v>1238018248.3499999</v>
      </c>
      <c r="F59" s="347">
        <f>+SUM([4]INFORME_PCT!$J$105,[4]INFORME_PCT!$J$106,[4]INFORME_PCT!$J$107)</f>
        <v>1238018248.3499999</v>
      </c>
      <c r="G59" s="353">
        <v>0</v>
      </c>
      <c r="H59" s="353">
        <v>0</v>
      </c>
      <c r="I59" s="353">
        <v>0</v>
      </c>
      <c r="J59" s="353">
        <v>0</v>
      </c>
      <c r="K59" s="353">
        <v>0</v>
      </c>
      <c r="L59" s="353">
        <v>0</v>
      </c>
      <c r="M59" s="353">
        <v>0</v>
      </c>
      <c r="N59" s="353">
        <v>0</v>
      </c>
      <c r="O59" s="353">
        <v>0</v>
      </c>
      <c r="P59" s="353">
        <v>0</v>
      </c>
      <c r="Q59" s="353">
        <v>0</v>
      </c>
      <c r="R59" s="353">
        <v>0</v>
      </c>
      <c r="S59" s="353">
        <v>0</v>
      </c>
      <c r="T59" s="353">
        <v>0</v>
      </c>
      <c r="U59" s="353">
        <v>0</v>
      </c>
      <c r="V59" s="353">
        <v>0</v>
      </c>
      <c r="W59" s="353">
        <v>5077731383.8999996</v>
      </c>
      <c r="X59" s="353">
        <v>5076980330</v>
      </c>
      <c r="Y59" s="353">
        <v>0</v>
      </c>
      <c r="Z59" s="353">
        <v>0</v>
      </c>
      <c r="AA59" s="353">
        <v>0</v>
      </c>
      <c r="AB59" s="353">
        <v>0</v>
      </c>
      <c r="AC59" s="353">
        <v>0</v>
      </c>
      <c r="AD59" s="353">
        <v>0</v>
      </c>
      <c r="AE59" s="353">
        <v>0</v>
      </c>
      <c r="AF59" s="353">
        <v>0</v>
      </c>
      <c r="AG59" s="353">
        <v>0</v>
      </c>
      <c r="AH59" s="353">
        <v>0</v>
      </c>
      <c r="AI59" s="353">
        <v>0</v>
      </c>
      <c r="AJ59" s="353">
        <v>0</v>
      </c>
      <c r="AK59" s="353">
        <v>0</v>
      </c>
      <c r="AL59" s="353">
        <v>0</v>
      </c>
      <c r="AM59" s="353">
        <v>0</v>
      </c>
      <c r="AN59" s="353">
        <v>0</v>
      </c>
      <c r="AO59" s="353">
        <v>0</v>
      </c>
      <c r="AP59" s="353">
        <v>0</v>
      </c>
      <c r="AQ59" s="353">
        <v>0</v>
      </c>
      <c r="AR59" s="353">
        <v>0</v>
      </c>
      <c r="AS59" s="353">
        <v>0</v>
      </c>
      <c r="AT59" s="353">
        <v>0</v>
      </c>
      <c r="AU59" s="353">
        <v>0</v>
      </c>
      <c r="AV59" s="353">
        <v>0</v>
      </c>
      <c r="AW59" s="353">
        <v>0</v>
      </c>
      <c r="AX59" s="353">
        <v>0</v>
      </c>
      <c r="AY59" s="353">
        <v>0</v>
      </c>
      <c r="AZ59" s="353">
        <v>0</v>
      </c>
      <c r="BA59" s="353">
        <v>0</v>
      </c>
      <c r="BB59" s="353">
        <v>0</v>
      </c>
      <c r="BC59" s="353">
        <v>0</v>
      </c>
      <c r="BD59" s="353">
        <v>0</v>
      </c>
      <c r="BE59" s="353">
        <v>0</v>
      </c>
      <c r="BF59" s="353">
        <v>0</v>
      </c>
      <c r="BG59" s="353">
        <f t="shared" si="5"/>
        <v>6321201639.0599995</v>
      </c>
      <c r="BH59" s="353">
        <f t="shared" si="5"/>
        <v>6319978280.1599998</v>
      </c>
      <c r="BI59" s="353">
        <f t="shared" si="5"/>
        <v>1238018248.3499999</v>
      </c>
      <c r="BJ59" s="353">
        <f t="shared" si="5"/>
        <v>1238018248.3499999</v>
      </c>
      <c r="BK59" s="287"/>
    </row>
    <row r="60" spans="1:64" ht="45.75" customHeight="1" x14ac:dyDescent="0.2">
      <c r="A60" s="305" t="s">
        <v>2037</v>
      </c>
      <c r="B60" s="346"/>
      <c r="C60" s="347">
        <f>+SUM([4]INFORME_PCT!$F$95,[4]INFORME_PCT!$F$97,[4]INFORME_PCT!$F$99)+SUM([4]INFORME_PCT!$F$299,[4]INFORME_PCT!$F$301)</f>
        <v>444480288</v>
      </c>
      <c r="D60" s="347">
        <f>+SUM([4]INFORME_PCT!$H$95,[4]INFORME_PCT!$H$97,[4]INFORME_PCT!$H$99)+SUM([4]INFORME_PCT!$H$299,[4]INFORME_PCT!$H$301)</f>
        <v>437924773</v>
      </c>
      <c r="E60" s="347">
        <f>+SUM([4]INFORME_PCT!$I$95,[4]INFORME_PCT!$I$97,[4]INFORME_PCT!$I$99)+SUM([4]INFORME_PCT!$H$299,[4]INFORME_PCT!$H$301)</f>
        <v>437924773</v>
      </c>
      <c r="F60" s="347">
        <f>+SUM([4]INFORME_PCT!$J$95,[4]INFORME_PCT!$J$97,[4]INFORME_PCT!$J$99)+SUM([4]INFORME_PCT!$I$299,[4]INFORME_PCT!$I$301)</f>
        <v>437924773</v>
      </c>
      <c r="G60" s="347">
        <f>+SUM([4]INFORME_PCT!$F$96,[4]INFORME_PCT!$F$98,[4]INFORME_PCT!$F$100)</f>
        <v>181657040</v>
      </c>
      <c r="H60" s="347">
        <f>+SUM([4]INFORME_PCT!$H$96,[4]INFORME_PCT!$H$98,[4]INFORME_PCT!$H$100)</f>
        <v>181657040</v>
      </c>
      <c r="I60" s="347">
        <f>+SUM([4]INFORME_PCT!$I$96,[4]INFORME_PCT!$I$98,[4]INFORME_PCT!$I$100)</f>
        <v>181657040</v>
      </c>
      <c r="J60" s="347">
        <f>+SUM([4]INFORME_PCT!$J$96,[4]INFORME_PCT!$J$98,[4]INFORME_PCT!$J$100)</f>
        <v>181657040</v>
      </c>
      <c r="K60" s="353">
        <v>0</v>
      </c>
      <c r="L60" s="353">
        <v>0</v>
      </c>
      <c r="M60" s="353">
        <v>0</v>
      </c>
      <c r="N60" s="353">
        <v>0</v>
      </c>
      <c r="O60" s="353">
        <v>0</v>
      </c>
      <c r="P60" s="353">
        <v>0</v>
      </c>
      <c r="Q60" s="353">
        <v>0</v>
      </c>
      <c r="R60" s="353">
        <v>0</v>
      </c>
      <c r="S60" s="353">
        <v>0</v>
      </c>
      <c r="T60" s="353">
        <v>0</v>
      </c>
      <c r="U60" s="353">
        <v>0</v>
      </c>
      <c r="V60" s="353">
        <v>0</v>
      </c>
      <c r="W60" s="353">
        <f>1999920884+10997108327+1391317215+128834169.55+2729227293.7+3966687778+2519104309+1019701157+2014702117</f>
        <v>26766603250.25</v>
      </c>
      <c r="X60" s="353">
        <f>1997995908+10995356459+1390453945+127189242+2727801571.5+3965944730+2518997351+1018309235+2012729780</f>
        <v>26754778221.5</v>
      </c>
      <c r="Y60" s="353">
        <f>1817403398.56+10985116459+407711383+121067627.25+2727728692.5+3035761353.71+2262302219.12</f>
        <v>21357091133.139999</v>
      </c>
      <c r="Z60" s="353">
        <f>10985116459+1817403398.56+407711383+121067627.25+2727728692.5+3035761353.71+2262302219.12</f>
        <v>21357091133.139999</v>
      </c>
      <c r="AA60" s="353">
        <v>0</v>
      </c>
      <c r="AB60" s="353">
        <v>0</v>
      </c>
      <c r="AC60" s="353">
        <v>0</v>
      </c>
      <c r="AD60" s="353">
        <v>0</v>
      </c>
      <c r="AE60" s="353">
        <f>+[4]INFORME_PCT!$F$302</f>
        <v>290000000</v>
      </c>
      <c r="AF60" s="353">
        <f>+[4]INFORME_PCT!$H$302</f>
        <v>290000000</v>
      </c>
      <c r="AG60" s="353">
        <f>+[4]INFORME_PCT!$I$302</f>
        <v>15000000</v>
      </c>
      <c r="AH60" s="353">
        <f>+[4]INFORME_PCT!$J$302</f>
        <v>0</v>
      </c>
      <c r="AI60" s="353">
        <v>0</v>
      </c>
      <c r="AJ60" s="353">
        <v>0</v>
      </c>
      <c r="AK60" s="353">
        <v>0</v>
      </c>
      <c r="AL60" s="353">
        <v>0</v>
      </c>
      <c r="AM60" s="353">
        <v>2793648556</v>
      </c>
      <c r="AN60" s="353">
        <v>2793076754</v>
      </c>
      <c r="AO60" s="353">
        <v>0</v>
      </c>
      <c r="AP60" s="353">
        <v>0</v>
      </c>
      <c r="AQ60" s="353">
        <v>0</v>
      </c>
      <c r="AR60" s="353">
        <v>0</v>
      </c>
      <c r="AS60" s="353">
        <v>0</v>
      </c>
      <c r="AT60" s="353">
        <v>0</v>
      </c>
      <c r="AU60" s="353">
        <v>0</v>
      </c>
      <c r="AV60" s="353">
        <v>0</v>
      </c>
      <c r="AW60" s="353">
        <v>0</v>
      </c>
      <c r="AX60" s="353">
        <v>0</v>
      </c>
      <c r="AY60" s="353">
        <v>0</v>
      </c>
      <c r="AZ60" s="353">
        <v>0</v>
      </c>
      <c r="BA60" s="353">
        <v>0</v>
      </c>
      <c r="BB60" s="353">
        <v>0</v>
      </c>
      <c r="BC60" s="353">
        <v>0</v>
      </c>
      <c r="BD60" s="353">
        <v>0</v>
      </c>
      <c r="BE60" s="353">
        <v>0</v>
      </c>
      <c r="BF60" s="353">
        <v>0</v>
      </c>
      <c r="BG60" s="353">
        <f t="shared" si="5"/>
        <v>30476389134.25</v>
      </c>
      <c r="BH60" s="353">
        <f t="shared" si="5"/>
        <v>30457436788.5</v>
      </c>
      <c r="BI60" s="353">
        <f t="shared" si="5"/>
        <v>21991672946.139999</v>
      </c>
      <c r="BJ60" s="353">
        <f t="shared" si="5"/>
        <v>21976672946.139999</v>
      </c>
      <c r="BK60" s="287"/>
    </row>
    <row r="61" spans="1:64" ht="45.75" customHeight="1" x14ac:dyDescent="0.2">
      <c r="A61" s="293" t="s">
        <v>2038</v>
      </c>
      <c r="B61" s="346"/>
      <c r="C61" s="345">
        <v>0</v>
      </c>
      <c r="D61" s="345">
        <v>0</v>
      </c>
      <c r="E61" s="345">
        <v>0</v>
      </c>
      <c r="F61" s="345">
        <v>0</v>
      </c>
      <c r="G61" s="345">
        <v>0</v>
      </c>
      <c r="H61" s="345">
        <v>0</v>
      </c>
      <c r="I61" s="345">
        <v>0</v>
      </c>
      <c r="J61" s="345">
        <v>0</v>
      </c>
      <c r="K61" s="345">
        <v>0</v>
      </c>
      <c r="L61" s="345">
        <v>0</v>
      </c>
      <c r="M61" s="345">
        <v>0</v>
      </c>
      <c r="N61" s="345">
        <v>0</v>
      </c>
      <c r="O61" s="345">
        <v>0</v>
      </c>
      <c r="P61" s="345">
        <v>0</v>
      </c>
      <c r="Q61" s="345">
        <v>0</v>
      </c>
      <c r="R61" s="345">
        <v>0</v>
      </c>
      <c r="S61" s="345">
        <v>0</v>
      </c>
      <c r="T61" s="345">
        <v>0</v>
      </c>
      <c r="U61" s="345">
        <v>0</v>
      </c>
      <c r="V61" s="345">
        <v>0</v>
      </c>
      <c r="W61" s="345">
        <v>0</v>
      </c>
      <c r="X61" s="345">
        <v>0</v>
      </c>
      <c r="Y61" s="345">
        <v>0</v>
      </c>
      <c r="Z61" s="345">
        <v>0</v>
      </c>
      <c r="AA61" s="345">
        <v>0</v>
      </c>
      <c r="AB61" s="345">
        <v>0</v>
      </c>
      <c r="AC61" s="345">
        <v>0</v>
      </c>
      <c r="AD61" s="345">
        <v>0</v>
      </c>
      <c r="AE61" s="345">
        <v>0</v>
      </c>
      <c r="AF61" s="345">
        <v>0</v>
      </c>
      <c r="AG61" s="345">
        <v>0</v>
      </c>
      <c r="AH61" s="345">
        <v>0</v>
      </c>
      <c r="AI61" s="345">
        <v>0</v>
      </c>
      <c r="AJ61" s="345">
        <v>0</v>
      </c>
      <c r="AK61" s="345">
        <v>0</v>
      </c>
      <c r="AL61" s="345">
        <v>0</v>
      </c>
      <c r="AM61" s="345">
        <v>0</v>
      </c>
      <c r="AN61" s="345">
        <v>0</v>
      </c>
      <c r="AO61" s="345">
        <v>0</v>
      </c>
      <c r="AP61" s="345">
        <v>0</v>
      </c>
      <c r="AQ61" s="345">
        <v>0</v>
      </c>
      <c r="AR61" s="345">
        <v>0</v>
      </c>
      <c r="AS61" s="345">
        <v>0</v>
      </c>
      <c r="AT61" s="345">
        <v>0</v>
      </c>
      <c r="AU61" s="345">
        <v>0</v>
      </c>
      <c r="AV61" s="345">
        <v>0</v>
      </c>
      <c r="AW61" s="345">
        <v>0</v>
      </c>
      <c r="AX61" s="345">
        <v>0</v>
      </c>
      <c r="AY61" s="345">
        <v>0</v>
      </c>
      <c r="AZ61" s="345">
        <v>0</v>
      </c>
      <c r="BA61" s="345">
        <v>0</v>
      </c>
      <c r="BB61" s="345">
        <v>0</v>
      </c>
      <c r="BC61" s="345">
        <v>0</v>
      </c>
      <c r="BD61" s="345">
        <v>0</v>
      </c>
      <c r="BE61" s="345">
        <v>0</v>
      </c>
      <c r="BF61" s="345">
        <v>0</v>
      </c>
      <c r="BG61" s="345">
        <f t="shared" si="5"/>
        <v>0</v>
      </c>
      <c r="BH61" s="345">
        <f t="shared" si="5"/>
        <v>0</v>
      </c>
      <c r="BI61" s="345">
        <f t="shared" si="5"/>
        <v>0</v>
      </c>
      <c r="BJ61" s="345">
        <f t="shared" si="5"/>
        <v>0</v>
      </c>
      <c r="BK61" s="309"/>
    </row>
    <row r="62" spans="1:64" ht="45.75" customHeight="1" x14ac:dyDescent="0.2">
      <c r="A62" s="297" t="s">
        <v>2039</v>
      </c>
      <c r="B62" s="349"/>
      <c r="C62" s="347">
        <f>+[4]INFORME_PCT!$F$326</f>
        <v>20000000</v>
      </c>
      <c r="D62" s="347">
        <f>+[4]INFORME_PCT!$H$326</f>
        <v>19665419</v>
      </c>
      <c r="E62" s="347">
        <f>+[4]INFORME_PCT!$H$326</f>
        <v>19665419</v>
      </c>
      <c r="F62" s="347">
        <f>+[4]INFORME_PCT!$J$326</f>
        <v>19665419</v>
      </c>
      <c r="G62" s="347">
        <f>+[4]INFORME_PCT!$F$328</f>
        <v>80000000</v>
      </c>
      <c r="H62" s="347">
        <f>+[4]INFORME_PCT!$H$328</f>
        <v>77366666</v>
      </c>
      <c r="I62" s="347">
        <f>+[4]INFORME_PCT!$H$328</f>
        <v>77366666</v>
      </c>
      <c r="J62" s="347">
        <f>+[4]INFORME_PCT!$J$328</f>
        <v>77366666</v>
      </c>
      <c r="K62" s="348">
        <v>0</v>
      </c>
      <c r="L62" s="348">
        <v>0</v>
      </c>
      <c r="M62" s="348">
        <v>0</v>
      </c>
      <c r="N62" s="348">
        <v>0</v>
      </c>
      <c r="O62" s="348">
        <v>0</v>
      </c>
      <c r="P62" s="348">
        <v>0</v>
      </c>
      <c r="Q62" s="348">
        <v>0</v>
      </c>
      <c r="R62" s="348">
        <v>0</v>
      </c>
      <c r="S62" s="348">
        <v>0</v>
      </c>
      <c r="T62" s="348">
        <v>0</v>
      </c>
      <c r="U62" s="348">
        <v>0</v>
      </c>
      <c r="V62" s="348">
        <v>0</v>
      </c>
      <c r="W62" s="348">
        <v>0</v>
      </c>
      <c r="X62" s="348">
        <v>0</v>
      </c>
      <c r="Y62" s="348">
        <v>0</v>
      </c>
      <c r="Z62" s="348">
        <v>0</v>
      </c>
      <c r="AA62" s="348">
        <v>0</v>
      </c>
      <c r="AB62" s="348">
        <v>0</v>
      </c>
      <c r="AC62" s="348">
        <v>0</v>
      </c>
      <c r="AD62" s="348">
        <v>0</v>
      </c>
      <c r="AE62" s="348">
        <v>0</v>
      </c>
      <c r="AF62" s="348">
        <v>0</v>
      </c>
      <c r="AG62" s="348">
        <v>0</v>
      </c>
      <c r="AH62" s="348">
        <v>0</v>
      </c>
      <c r="AI62" s="348">
        <v>0</v>
      </c>
      <c r="AJ62" s="348">
        <v>0</v>
      </c>
      <c r="AK62" s="348">
        <v>0</v>
      </c>
      <c r="AL62" s="348">
        <v>0</v>
      </c>
      <c r="AM62" s="348">
        <v>0</v>
      </c>
      <c r="AN62" s="348">
        <v>0</v>
      </c>
      <c r="AO62" s="348">
        <v>0</v>
      </c>
      <c r="AP62" s="348">
        <v>0</v>
      </c>
      <c r="AQ62" s="348">
        <v>0</v>
      </c>
      <c r="AR62" s="348">
        <v>0</v>
      </c>
      <c r="AS62" s="348">
        <v>0</v>
      </c>
      <c r="AT62" s="348">
        <v>0</v>
      </c>
      <c r="AU62" s="348">
        <v>0</v>
      </c>
      <c r="AV62" s="348">
        <v>0</v>
      </c>
      <c r="AW62" s="348">
        <v>0</v>
      </c>
      <c r="AX62" s="348">
        <v>0</v>
      </c>
      <c r="AY62" s="348">
        <v>0</v>
      </c>
      <c r="AZ62" s="348">
        <v>0</v>
      </c>
      <c r="BA62" s="348">
        <v>0</v>
      </c>
      <c r="BB62" s="348">
        <v>0</v>
      </c>
      <c r="BC62" s="348">
        <v>0</v>
      </c>
      <c r="BD62" s="348">
        <v>0</v>
      </c>
      <c r="BE62" s="348">
        <v>0</v>
      </c>
      <c r="BF62" s="348">
        <v>0</v>
      </c>
      <c r="BG62" s="347">
        <f t="shared" si="5"/>
        <v>100000000</v>
      </c>
      <c r="BH62" s="347">
        <f t="shared" si="5"/>
        <v>97032085</v>
      </c>
      <c r="BI62" s="347">
        <f t="shared" si="5"/>
        <v>97032085</v>
      </c>
      <c r="BJ62" s="347">
        <f t="shared" si="5"/>
        <v>97032085</v>
      </c>
      <c r="BK62" s="302">
        <f>+SUM(BG58:BG62)-B58</f>
        <v>0</v>
      </c>
    </row>
    <row r="63" spans="1:64" ht="45.75" customHeight="1" x14ac:dyDescent="0.2">
      <c r="A63" s="303" t="s">
        <v>2040</v>
      </c>
      <c r="B63" s="343">
        <f t="shared" ref="B63:AD63" si="28">SUM(B64:B65)</f>
        <v>14302035767</v>
      </c>
      <c r="C63" s="343">
        <f t="shared" si="28"/>
        <v>0</v>
      </c>
      <c r="D63" s="343">
        <f t="shared" si="28"/>
        <v>0</v>
      </c>
      <c r="E63" s="343">
        <f t="shared" si="28"/>
        <v>0</v>
      </c>
      <c r="F63" s="343">
        <f t="shared" si="28"/>
        <v>0</v>
      </c>
      <c r="G63" s="343">
        <f t="shared" si="28"/>
        <v>0</v>
      </c>
      <c r="H63" s="343">
        <f t="shared" si="28"/>
        <v>0</v>
      </c>
      <c r="I63" s="343">
        <f t="shared" si="28"/>
        <v>0</v>
      </c>
      <c r="J63" s="343">
        <f t="shared" si="28"/>
        <v>0</v>
      </c>
      <c r="K63" s="343">
        <f t="shared" si="28"/>
        <v>0</v>
      </c>
      <c r="L63" s="343">
        <f t="shared" si="28"/>
        <v>0</v>
      </c>
      <c r="M63" s="343">
        <f t="shared" si="28"/>
        <v>0</v>
      </c>
      <c r="N63" s="343">
        <f t="shared" si="28"/>
        <v>0</v>
      </c>
      <c r="O63" s="343">
        <f t="shared" si="28"/>
        <v>0</v>
      </c>
      <c r="P63" s="343">
        <f t="shared" si="28"/>
        <v>0</v>
      </c>
      <c r="Q63" s="343">
        <f t="shared" si="28"/>
        <v>0</v>
      </c>
      <c r="R63" s="343">
        <f t="shared" si="28"/>
        <v>0</v>
      </c>
      <c r="S63" s="343">
        <f t="shared" si="28"/>
        <v>0</v>
      </c>
      <c r="T63" s="343">
        <f t="shared" si="28"/>
        <v>0</v>
      </c>
      <c r="U63" s="343">
        <f t="shared" si="28"/>
        <v>0</v>
      </c>
      <c r="V63" s="343">
        <f t="shared" si="28"/>
        <v>0</v>
      </c>
      <c r="W63" s="343">
        <f t="shared" si="28"/>
        <v>14302035767</v>
      </c>
      <c r="X63" s="343">
        <f t="shared" si="28"/>
        <v>14300602005</v>
      </c>
      <c r="Y63" s="343">
        <f t="shared" si="28"/>
        <v>5399009299.8000002</v>
      </c>
      <c r="Z63" s="343">
        <f t="shared" si="28"/>
        <v>5399009299.8000002</v>
      </c>
      <c r="AA63" s="343">
        <f t="shared" si="28"/>
        <v>0</v>
      </c>
      <c r="AB63" s="343">
        <f t="shared" si="28"/>
        <v>0</v>
      </c>
      <c r="AC63" s="343">
        <f t="shared" si="28"/>
        <v>0</v>
      </c>
      <c r="AD63" s="343">
        <f t="shared" si="28"/>
        <v>0</v>
      </c>
      <c r="AE63" s="343">
        <f t="shared" ref="AE63:BF63" si="29">SUM(AE64:AE65)</f>
        <v>0</v>
      </c>
      <c r="AF63" s="343">
        <f t="shared" si="29"/>
        <v>0</v>
      </c>
      <c r="AG63" s="343">
        <f t="shared" si="29"/>
        <v>0</v>
      </c>
      <c r="AH63" s="343">
        <f t="shared" si="29"/>
        <v>0</v>
      </c>
      <c r="AI63" s="343">
        <f t="shared" si="29"/>
        <v>0</v>
      </c>
      <c r="AJ63" s="343">
        <f t="shared" si="29"/>
        <v>0</v>
      </c>
      <c r="AK63" s="343">
        <f t="shared" si="29"/>
        <v>0</v>
      </c>
      <c r="AL63" s="343">
        <f t="shared" si="29"/>
        <v>0</v>
      </c>
      <c r="AM63" s="343">
        <f t="shared" si="29"/>
        <v>0</v>
      </c>
      <c r="AN63" s="343">
        <f t="shared" si="29"/>
        <v>0</v>
      </c>
      <c r="AO63" s="343">
        <f t="shared" si="29"/>
        <v>0</v>
      </c>
      <c r="AP63" s="343">
        <f t="shared" si="29"/>
        <v>0</v>
      </c>
      <c r="AQ63" s="343">
        <f t="shared" si="29"/>
        <v>0</v>
      </c>
      <c r="AR63" s="343">
        <f t="shared" si="29"/>
        <v>0</v>
      </c>
      <c r="AS63" s="343">
        <f t="shared" si="29"/>
        <v>0</v>
      </c>
      <c r="AT63" s="343">
        <f t="shared" si="29"/>
        <v>0</v>
      </c>
      <c r="AU63" s="343">
        <f t="shared" si="29"/>
        <v>0</v>
      </c>
      <c r="AV63" s="343">
        <f t="shared" si="29"/>
        <v>0</v>
      </c>
      <c r="AW63" s="343">
        <f t="shared" si="29"/>
        <v>0</v>
      </c>
      <c r="AX63" s="343">
        <f t="shared" si="29"/>
        <v>0</v>
      </c>
      <c r="AY63" s="343">
        <f t="shared" si="29"/>
        <v>0</v>
      </c>
      <c r="AZ63" s="343">
        <f t="shared" si="29"/>
        <v>0</v>
      </c>
      <c r="BA63" s="343">
        <f t="shared" si="29"/>
        <v>0</v>
      </c>
      <c r="BB63" s="343">
        <f t="shared" si="29"/>
        <v>0</v>
      </c>
      <c r="BC63" s="343">
        <f t="shared" si="29"/>
        <v>0</v>
      </c>
      <c r="BD63" s="343">
        <f t="shared" si="29"/>
        <v>0</v>
      </c>
      <c r="BE63" s="343">
        <f t="shared" si="29"/>
        <v>0</v>
      </c>
      <c r="BF63" s="343">
        <f t="shared" si="29"/>
        <v>0</v>
      </c>
      <c r="BG63" s="343">
        <f t="shared" si="5"/>
        <v>14302035767</v>
      </c>
      <c r="BH63" s="343">
        <f t="shared" si="5"/>
        <v>14300602005</v>
      </c>
      <c r="BI63" s="343">
        <f t="shared" si="5"/>
        <v>5399009299.8000002</v>
      </c>
      <c r="BJ63" s="343">
        <f t="shared" si="5"/>
        <v>5399009299.8000002</v>
      </c>
      <c r="BK63" s="291">
        <f>+SUM(BG64:BG65)-BG63</f>
        <v>0</v>
      </c>
      <c r="BL63" s="292">
        <f>+BG63-B63</f>
        <v>0</v>
      </c>
    </row>
    <row r="64" spans="1:64" ht="45.75" customHeight="1" x14ac:dyDescent="0.2">
      <c r="A64" s="293" t="s">
        <v>2041</v>
      </c>
      <c r="B64" s="344">
        <f>1709455689+11136256756+1456323322</f>
        <v>14302035767</v>
      </c>
      <c r="C64" s="345">
        <v>0</v>
      </c>
      <c r="D64" s="345">
        <v>0</v>
      </c>
      <c r="E64" s="345">
        <v>0</v>
      </c>
      <c r="F64" s="345">
        <v>0</v>
      </c>
      <c r="G64" s="345">
        <v>0</v>
      </c>
      <c r="H64" s="345">
        <v>0</v>
      </c>
      <c r="I64" s="345">
        <v>0</v>
      </c>
      <c r="J64" s="345">
        <v>0</v>
      </c>
      <c r="K64" s="345">
        <v>0</v>
      </c>
      <c r="L64" s="345">
        <v>0</v>
      </c>
      <c r="M64" s="345">
        <v>0</v>
      </c>
      <c r="N64" s="345">
        <v>0</v>
      </c>
      <c r="O64" s="345">
        <v>0</v>
      </c>
      <c r="P64" s="345">
        <v>0</v>
      </c>
      <c r="Q64" s="345">
        <v>0</v>
      </c>
      <c r="R64" s="345">
        <v>0</v>
      </c>
      <c r="S64" s="345">
        <v>0</v>
      </c>
      <c r="T64" s="345">
        <v>0</v>
      </c>
      <c r="U64" s="345">
        <v>0</v>
      </c>
      <c r="V64" s="345">
        <v>0</v>
      </c>
      <c r="W64" s="345">
        <v>0</v>
      </c>
      <c r="X64" s="345">
        <v>0</v>
      </c>
      <c r="Y64" s="345">
        <v>0</v>
      </c>
      <c r="Z64" s="345">
        <v>0</v>
      </c>
      <c r="AA64" s="345">
        <v>0</v>
      </c>
      <c r="AB64" s="345">
        <v>0</v>
      </c>
      <c r="AC64" s="345">
        <v>0</v>
      </c>
      <c r="AD64" s="345">
        <v>0</v>
      </c>
      <c r="AE64" s="345">
        <v>0</v>
      </c>
      <c r="AF64" s="345">
        <v>0</v>
      </c>
      <c r="AG64" s="345">
        <v>0</v>
      </c>
      <c r="AH64" s="345">
        <v>0</v>
      </c>
      <c r="AI64" s="345">
        <v>0</v>
      </c>
      <c r="AJ64" s="345">
        <v>0</v>
      </c>
      <c r="AK64" s="345">
        <v>0</v>
      </c>
      <c r="AL64" s="345">
        <v>0</v>
      </c>
      <c r="AM64" s="345">
        <v>0</v>
      </c>
      <c r="AN64" s="345">
        <v>0</v>
      </c>
      <c r="AO64" s="345">
        <v>0</v>
      </c>
      <c r="AP64" s="345">
        <v>0</v>
      </c>
      <c r="AQ64" s="345">
        <v>0</v>
      </c>
      <c r="AR64" s="345">
        <v>0</v>
      </c>
      <c r="AS64" s="345">
        <v>0</v>
      </c>
      <c r="AT64" s="345">
        <v>0</v>
      </c>
      <c r="AU64" s="345">
        <v>0</v>
      </c>
      <c r="AV64" s="345">
        <v>0</v>
      </c>
      <c r="AW64" s="345">
        <v>0</v>
      </c>
      <c r="AX64" s="345">
        <v>0</v>
      </c>
      <c r="AY64" s="345">
        <v>0</v>
      </c>
      <c r="AZ64" s="345">
        <v>0</v>
      </c>
      <c r="BA64" s="345">
        <v>0</v>
      </c>
      <c r="BB64" s="345">
        <v>0</v>
      </c>
      <c r="BC64" s="345">
        <v>0</v>
      </c>
      <c r="BD64" s="345">
        <v>0</v>
      </c>
      <c r="BE64" s="345">
        <v>0</v>
      </c>
      <c r="BF64" s="345">
        <v>0</v>
      </c>
      <c r="BG64" s="345">
        <f t="shared" si="5"/>
        <v>0</v>
      </c>
      <c r="BH64" s="345">
        <f t="shared" si="5"/>
        <v>0</v>
      </c>
      <c r="BI64" s="345">
        <f t="shared" si="5"/>
        <v>0</v>
      </c>
      <c r="BJ64" s="345">
        <f t="shared" si="5"/>
        <v>0</v>
      </c>
      <c r="BK64" s="287"/>
    </row>
    <row r="65" spans="1:64" ht="45.75" customHeight="1" x14ac:dyDescent="0.2">
      <c r="A65" s="310" t="s">
        <v>2042</v>
      </c>
      <c r="B65" s="349"/>
      <c r="C65" s="353">
        <v>0</v>
      </c>
      <c r="D65" s="353">
        <v>0</v>
      </c>
      <c r="E65" s="353">
        <v>0</v>
      </c>
      <c r="F65" s="353">
        <v>0</v>
      </c>
      <c r="G65" s="353">
        <v>0</v>
      </c>
      <c r="H65" s="353">
        <v>0</v>
      </c>
      <c r="I65" s="353">
        <v>0</v>
      </c>
      <c r="J65" s="353">
        <v>0</v>
      </c>
      <c r="K65" s="353">
        <v>0</v>
      </c>
      <c r="L65" s="353">
        <v>0</v>
      </c>
      <c r="M65" s="353">
        <v>0</v>
      </c>
      <c r="N65" s="353">
        <v>0</v>
      </c>
      <c r="O65" s="353">
        <v>0</v>
      </c>
      <c r="P65" s="353">
        <v>0</v>
      </c>
      <c r="Q65" s="353">
        <v>0</v>
      </c>
      <c r="R65" s="353">
        <v>0</v>
      </c>
      <c r="S65" s="353">
        <v>0</v>
      </c>
      <c r="T65" s="353">
        <v>0</v>
      </c>
      <c r="U65" s="353">
        <v>0</v>
      </c>
      <c r="V65" s="353">
        <v>0</v>
      </c>
      <c r="W65" s="353">
        <f>1456323322+11136256756+1709455689</f>
        <v>14302035767</v>
      </c>
      <c r="X65" s="353">
        <f>1455692235+11135602428+1709307342</f>
        <v>14300602005</v>
      </c>
      <c r="Y65" s="353">
        <f>1455692235+3282156528+661160536.8</f>
        <v>5399009299.8000002</v>
      </c>
      <c r="Z65" s="353">
        <f>1455692235+3282156528+661160536.8</f>
        <v>5399009299.8000002</v>
      </c>
      <c r="AA65" s="353">
        <v>0</v>
      </c>
      <c r="AB65" s="353">
        <v>0</v>
      </c>
      <c r="AC65" s="353">
        <v>0</v>
      </c>
      <c r="AD65" s="353">
        <v>0</v>
      </c>
      <c r="AE65" s="353">
        <v>0</v>
      </c>
      <c r="AF65" s="353">
        <v>0</v>
      </c>
      <c r="AG65" s="353">
        <v>0</v>
      </c>
      <c r="AH65" s="353">
        <v>0</v>
      </c>
      <c r="AI65" s="353">
        <v>0</v>
      </c>
      <c r="AJ65" s="353">
        <v>0</v>
      </c>
      <c r="AK65" s="353">
        <v>0</v>
      </c>
      <c r="AL65" s="353">
        <v>0</v>
      </c>
      <c r="AM65" s="353">
        <v>0</v>
      </c>
      <c r="AN65" s="353">
        <v>0</v>
      </c>
      <c r="AO65" s="353">
        <v>0</v>
      </c>
      <c r="AP65" s="353">
        <v>0</v>
      </c>
      <c r="AQ65" s="353">
        <v>0</v>
      </c>
      <c r="AR65" s="353">
        <v>0</v>
      </c>
      <c r="AS65" s="353">
        <v>0</v>
      </c>
      <c r="AT65" s="353">
        <v>0</v>
      </c>
      <c r="AU65" s="353">
        <v>0</v>
      </c>
      <c r="AV65" s="353">
        <v>0</v>
      </c>
      <c r="AW65" s="353">
        <v>0</v>
      </c>
      <c r="AX65" s="353">
        <v>0</v>
      </c>
      <c r="AY65" s="353">
        <v>0</v>
      </c>
      <c r="AZ65" s="353">
        <v>0</v>
      </c>
      <c r="BA65" s="353">
        <v>0</v>
      </c>
      <c r="BB65" s="353">
        <v>0</v>
      </c>
      <c r="BC65" s="353">
        <v>0</v>
      </c>
      <c r="BD65" s="353">
        <v>0</v>
      </c>
      <c r="BE65" s="353">
        <v>0</v>
      </c>
      <c r="BF65" s="353">
        <v>0</v>
      </c>
      <c r="BG65" s="353">
        <f t="shared" si="5"/>
        <v>14302035767</v>
      </c>
      <c r="BH65" s="353">
        <f t="shared" si="5"/>
        <v>14300602005</v>
      </c>
      <c r="BI65" s="353">
        <f t="shared" si="5"/>
        <v>5399009299.8000002</v>
      </c>
      <c r="BJ65" s="353">
        <f t="shared" si="5"/>
        <v>5399009299.8000002</v>
      </c>
      <c r="BK65" s="291">
        <f>+SUM(BG64:BG65)-B64</f>
        <v>0</v>
      </c>
    </row>
    <row r="66" spans="1:64" s="283" customFormat="1" ht="45.75" customHeight="1" x14ac:dyDescent="0.2">
      <c r="A66" s="280" t="s">
        <v>2043</v>
      </c>
      <c r="B66" s="341">
        <f>+B67</f>
        <v>11281430897.030001</v>
      </c>
      <c r="C66" s="341">
        <f>+C67</f>
        <v>7946851559.8400002</v>
      </c>
      <c r="D66" s="341">
        <f>+D67</f>
        <v>7410302042.4799995</v>
      </c>
      <c r="E66" s="341">
        <f t="shared" ref="E66:BF66" si="30">+E67</f>
        <v>7206661055.8899994</v>
      </c>
      <c r="F66" s="341">
        <f t="shared" si="30"/>
        <v>5837033858.0699997</v>
      </c>
      <c r="G66" s="341">
        <f t="shared" si="30"/>
        <v>268363440</v>
      </c>
      <c r="H66" s="341">
        <f t="shared" si="30"/>
        <v>117313702</v>
      </c>
      <c r="I66" s="341">
        <f t="shared" si="30"/>
        <v>117313702</v>
      </c>
      <c r="J66" s="341">
        <f t="shared" si="30"/>
        <v>117313702</v>
      </c>
      <c r="K66" s="341">
        <f t="shared" si="30"/>
        <v>166034934.56</v>
      </c>
      <c r="L66" s="341">
        <f t="shared" si="30"/>
        <v>116785881</v>
      </c>
      <c r="M66" s="341">
        <f t="shared" si="30"/>
        <v>116785881</v>
      </c>
      <c r="N66" s="341">
        <f t="shared" si="30"/>
        <v>114647913</v>
      </c>
      <c r="O66" s="341">
        <f t="shared" si="30"/>
        <v>960701165.9000001</v>
      </c>
      <c r="P66" s="341">
        <f t="shared" si="30"/>
        <v>960701165.9000001</v>
      </c>
      <c r="Q66" s="341">
        <f t="shared" si="30"/>
        <v>110701165.90000001</v>
      </c>
      <c r="R66" s="341">
        <f t="shared" si="30"/>
        <v>110701165.90000001</v>
      </c>
      <c r="S66" s="341">
        <f t="shared" si="30"/>
        <v>10000000</v>
      </c>
      <c r="T66" s="341">
        <f t="shared" si="30"/>
        <v>9858992</v>
      </c>
      <c r="U66" s="341">
        <f t="shared" si="30"/>
        <v>9858992</v>
      </c>
      <c r="V66" s="341">
        <f t="shared" si="30"/>
        <v>9858992</v>
      </c>
      <c r="W66" s="341">
        <f t="shared" si="30"/>
        <v>1347479796.73</v>
      </c>
      <c r="X66" s="341">
        <f t="shared" si="30"/>
        <v>1347470320</v>
      </c>
      <c r="Y66" s="341">
        <f t="shared" si="30"/>
        <v>404241096</v>
      </c>
      <c r="Z66" s="341">
        <f t="shared" si="30"/>
        <v>404241096</v>
      </c>
      <c r="AA66" s="341">
        <f t="shared" si="30"/>
        <v>100000000</v>
      </c>
      <c r="AB66" s="341">
        <f t="shared" si="30"/>
        <v>98793036</v>
      </c>
      <c r="AC66" s="341">
        <f t="shared" si="30"/>
        <v>98793036</v>
      </c>
      <c r="AD66" s="341">
        <f t="shared" si="30"/>
        <v>98793036</v>
      </c>
      <c r="AE66" s="341">
        <f t="shared" si="30"/>
        <v>52000000</v>
      </c>
      <c r="AF66" s="341">
        <f t="shared" si="30"/>
        <v>49906913</v>
      </c>
      <c r="AG66" s="341">
        <f t="shared" si="30"/>
        <v>47855908.999999993</v>
      </c>
      <c r="AH66" s="341">
        <f t="shared" si="30"/>
        <v>47855908.999999993</v>
      </c>
      <c r="AI66" s="341">
        <f t="shared" si="30"/>
        <v>0</v>
      </c>
      <c r="AJ66" s="341">
        <f t="shared" si="30"/>
        <v>0</v>
      </c>
      <c r="AK66" s="341">
        <f t="shared" si="30"/>
        <v>0</v>
      </c>
      <c r="AL66" s="341">
        <f t="shared" si="30"/>
        <v>0</v>
      </c>
      <c r="AM66" s="341">
        <f t="shared" si="30"/>
        <v>0</v>
      </c>
      <c r="AN66" s="341">
        <f t="shared" si="30"/>
        <v>0</v>
      </c>
      <c r="AO66" s="341">
        <f t="shared" si="30"/>
        <v>0</v>
      </c>
      <c r="AP66" s="341">
        <f t="shared" si="30"/>
        <v>0</v>
      </c>
      <c r="AQ66" s="341">
        <f t="shared" si="30"/>
        <v>0</v>
      </c>
      <c r="AR66" s="341">
        <f t="shared" si="30"/>
        <v>0</v>
      </c>
      <c r="AS66" s="341">
        <f t="shared" si="30"/>
        <v>0</v>
      </c>
      <c r="AT66" s="341">
        <f t="shared" si="30"/>
        <v>0</v>
      </c>
      <c r="AU66" s="341">
        <f t="shared" si="30"/>
        <v>0</v>
      </c>
      <c r="AV66" s="341">
        <f t="shared" si="30"/>
        <v>0</v>
      </c>
      <c r="AW66" s="341">
        <f t="shared" si="30"/>
        <v>0</v>
      </c>
      <c r="AX66" s="341">
        <f t="shared" si="30"/>
        <v>0</v>
      </c>
      <c r="AY66" s="341">
        <f t="shared" si="30"/>
        <v>250000000</v>
      </c>
      <c r="AZ66" s="341">
        <f t="shared" si="30"/>
        <v>249193180</v>
      </c>
      <c r="BA66" s="341">
        <f t="shared" si="30"/>
        <v>249193180</v>
      </c>
      <c r="BB66" s="341">
        <f t="shared" si="30"/>
        <v>249193180</v>
      </c>
      <c r="BC66" s="341">
        <f t="shared" si="30"/>
        <v>180000000</v>
      </c>
      <c r="BD66" s="341">
        <f t="shared" si="30"/>
        <v>180000000</v>
      </c>
      <c r="BE66" s="341">
        <f t="shared" si="30"/>
        <v>180000000</v>
      </c>
      <c r="BF66" s="341">
        <f t="shared" si="30"/>
        <v>177948611</v>
      </c>
      <c r="BG66" s="341">
        <f t="shared" si="5"/>
        <v>11281430897.030001</v>
      </c>
      <c r="BH66" s="341">
        <f t="shared" si="5"/>
        <v>10540325232.379999</v>
      </c>
      <c r="BI66" s="341">
        <f t="shared" si="5"/>
        <v>8541404017.789999</v>
      </c>
      <c r="BJ66" s="341">
        <f t="shared" si="5"/>
        <v>7167587462.9699993</v>
      </c>
      <c r="BK66" s="282"/>
    </row>
    <row r="67" spans="1:64" ht="45.75" customHeight="1" x14ac:dyDescent="0.2">
      <c r="A67" s="284" t="s">
        <v>2044</v>
      </c>
      <c r="B67" s="342">
        <f>+B68+B71+B75+B83+B94+B99</f>
        <v>11281430897.030001</v>
      </c>
      <c r="C67" s="342">
        <f>+C68+C71+C75+C83+C94+C99</f>
        <v>7946851559.8400002</v>
      </c>
      <c r="D67" s="342">
        <f>+D68+D71+D75+D83+D94+D99</f>
        <v>7410302042.4799995</v>
      </c>
      <c r="E67" s="342">
        <f t="shared" ref="E67:BF67" si="31">+E68+E71+E75+E83+E94+E99</f>
        <v>7206661055.8899994</v>
      </c>
      <c r="F67" s="342">
        <f t="shared" si="31"/>
        <v>5837033858.0699997</v>
      </c>
      <c r="G67" s="342">
        <f t="shared" si="31"/>
        <v>268363440</v>
      </c>
      <c r="H67" s="342">
        <f t="shared" si="31"/>
        <v>117313702</v>
      </c>
      <c r="I67" s="342">
        <f t="shared" si="31"/>
        <v>117313702</v>
      </c>
      <c r="J67" s="342">
        <f t="shared" si="31"/>
        <v>117313702</v>
      </c>
      <c r="K67" s="342">
        <f t="shared" si="31"/>
        <v>166034934.56</v>
      </c>
      <c r="L67" s="342">
        <f t="shared" si="31"/>
        <v>116785881</v>
      </c>
      <c r="M67" s="342">
        <f t="shared" si="31"/>
        <v>116785881</v>
      </c>
      <c r="N67" s="342">
        <f t="shared" si="31"/>
        <v>114647913</v>
      </c>
      <c r="O67" s="342">
        <f t="shared" si="31"/>
        <v>960701165.9000001</v>
      </c>
      <c r="P67" s="342">
        <f t="shared" si="31"/>
        <v>960701165.9000001</v>
      </c>
      <c r="Q67" s="342">
        <f t="shared" si="31"/>
        <v>110701165.90000001</v>
      </c>
      <c r="R67" s="342">
        <f t="shared" si="31"/>
        <v>110701165.90000001</v>
      </c>
      <c r="S67" s="342">
        <f t="shared" si="31"/>
        <v>10000000</v>
      </c>
      <c r="T67" s="342">
        <f t="shared" si="31"/>
        <v>9858992</v>
      </c>
      <c r="U67" s="342">
        <f t="shared" si="31"/>
        <v>9858992</v>
      </c>
      <c r="V67" s="342">
        <f t="shared" si="31"/>
        <v>9858992</v>
      </c>
      <c r="W67" s="342">
        <f t="shared" si="31"/>
        <v>1347479796.73</v>
      </c>
      <c r="X67" s="342">
        <f t="shared" si="31"/>
        <v>1347470320</v>
      </c>
      <c r="Y67" s="342">
        <f t="shared" si="31"/>
        <v>404241096</v>
      </c>
      <c r="Z67" s="342">
        <f t="shared" si="31"/>
        <v>404241096</v>
      </c>
      <c r="AA67" s="342">
        <f t="shared" si="31"/>
        <v>100000000</v>
      </c>
      <c r="AB67" s="342">
        <f t="shared" si="31"/>
        <v>98793036</v>
      </c>
      <c r="AC67" s="342">
        <f t="shared" si="31"/>
        <v>98793036</v>
      </c>
      <c r="AD67" s="342">
        <f t="shared" si="31"/>
        <v>98793036</v>
      </c>
      <c r="AE67" s="342">
        <f t="shared" si="31"/>
        <v>52000000</v>
      </c>
      <c r="AF67" s="342">
        <f t="shared" si="31"/>
        <v>49906913</v>
      </c>
      <c r="AG67" s="342">
        <f t="shared" si="31"/>
        <v>47855908.999999993</v>
      </c>
      <c r="AH67" s="342">
        <f t="shared" si="31"/>
        <v>47855908.999999993</v>
      </c>
      <c r="AI67" s="342">
        <f t="shared" si="31"/>
        <v>0</v>
      </c>
      <c r="AJ67" s="342">
        <f t="shared" si="31"/>
        <v>0</v>
      </c>
      <c r="AK67" s="342">
        <f t="shared" si="31"/>
        <v>0</v>
      </c>
      <c r="AL67" s="342">
        <f t="shared" si="31"/>
        <v>0</v>
      </c>
      <c r="AM67" s="342">
        <f t="shared" si="31"/>
        <v>0</v>
      </c>
      <c r="AN67" s="342">
        <f t="shared" si="31"/>
        <v>0</v>
      </c>
      <c r="AO67" s="342">
        <f t="shared" si="31"/>
        <v>0</v>
      </c>
      <c r="AP67" s="342">
        <f t="shared" si="31"/>
        <v>0</v>
      </c>
      <c r="AQ67" s="342">
        <f t="shared" si="31"/>
        <v>0</v>
      </c>
      <c r="AR67" s="342">
        <f t="shared" si="31"/>
        <v>0</v>
      </c>
      <c r="AS67" s="342">
        <f t="shared" si="31"/>
        <v>0</v>
      </c>
      <c r="AT67" s="342">
        <f t="shared" si="31"/>
        <v>0</v>
      </c>
      <c r="AU67" s="342">
        <f t="shared" si="31"/>
        <v>0</v>
      </c>
      <c r="AV67" s="342">
        <f t="shared" si="31"/>
        <v>0</v>
      </c>
      <c r="AW67" s="342">
        <f t="shared" si="31"/>
        <v>0</v>
      </c>
      <c r="AX67" s="342">
        <f t="shared" si="31"/>
        <v>0</v>
      </c>
      <c r="AY67" s="342">
        <f t="shared" si="31"/>
        <v>250000000</v>
      </c>
      <c r="AZ67" s="342">
        <f t="shared" si="31"/>
        <v>249193180</v>
      </c>
      <c r="BA67" s="342">
        <f t="shared" si="31"/>
        <v>249193180</v>
      </c>
      <c r="BB67" s="342">
        <f t="shared" si="31"/>
        <v>249193180</v>
      </c>
      <c r="BC67" s="342">
        <f t="shared" si="31"/>
        <v>180000000</v>
      </c>
      <c r="BD67" s="342">
        <f t="shared" si="31"/>
        <v>180000000</v>
      </c>
      <c r="BE67" s="342">
        <f t="shared" si="31"/>
        <v>180000000</v>
      </c>
      <c r="BF67" s="342">
        <f t="shared" si="31"/>
        <v>177948611</v>
      </c>
      <c r="BG67" s="342">
        <f t="shared" si="5"/>
        <v>11281430897.030001</v>
      </c>
      <c r="BH67" s="342">
        <f t="shared" si="5"/>
        <v>10540325232.379999</v>
      </c>
      <c r="BI67" s="342">
        <f t="shared" si="5"/>
        <v>8541404017.789999</v>
      </c>
      <c r="BJ67" s="342">
        <f t="shared" si="5"/>
        <v>7167587462.9699993</v>
      </c>
      <c r="BK67" s="287"/>
    </row>
    <row r="68" spans="1:64" ht="45.75" customHeight="1" x14ac:dyDescent="0.2">
      <c r="A68" s="303" t="s">
        <v>2045</v>
      </c>
      <c r="B68" s="343">
        <f>SUM(B69:B70)</f>
        <v>270575796</v>
      </c>
      <c r="C68" s="343">
        <f t="shared" ref="C68:BF68" si="32">SUM(C69:C70)</f>
        <v>228575796</v>
      </c>
      <c r="D68" s="343">
        <f t="shared" si="32"/>
        <v>226971401</v>
      </c>
      <c r="E68" s="343">
        <f t="shared" si="32"/>
        <v>226971401</v>
      </c>
      <c r="F68" s="343">
        <f t="shared" si="32"/>
        <v>225861463</v>
      </c>
      <c r="G68" s="343">
        <f t="shared" si="32"/>
        <v>0</v>
      </c>
      <c r="H68" s="343">
        <f t="shared" si="32"/>
        <v>0</v>
      </c>
      <c r="I68" s="343">
        <f t="shared" si="32"/>
        <v>0</v>
      </c>
      <c r="J68" s="343">
        <f t="shared" si="32"/>
        <v>0</v>
      </c>
      <c r="K68" s="343">
        <f t="shared" si="32"/>
        <v>40000000</v>
      </c>
      <c r="L68" s="343">
        <f t="shared" si="32"/>
        <v>36385265</v>
      </c>
      <c r="M68" s="343">
        <f t="shared" si="32"/>
        <v>36385265</v>
      </c>
      <c r="N68" s="343">
        <f t="shared" si="32"/>
        <v>36385265</v>
      </c>
      <c r="O68" s="343">
        <f t="shared" si="32"/>
        <v>0</v>
      </c>
      <c r="P68" s="343">
        <f t="shared" si="32"/>
        <v>0</v>
      </c>
      <c r="Q68" s="343">
        <f t="shared" si="32"/>
        <v>0</v>
      </c>
      <c r="R68" s="343">
        <f t="shared" si="32"/>
        <v>0</v>
      </c>
      <c r="S68" s="343">
        <f t="shared" si="32"/>
        <v>0</v>
      </c>
      <c r="T68" s="343">
        <f t="shared" si="32"/>
        <v>0</v>
      </c>
      <c r="U68" s="343">
        <f t="shared" si="32"/>
        <v>0</v>
      </c>
      <c r="V68" s="343">
        <f t="shared" si="32"/>
        <v>0</v>
      </c>
      <c r="W68" s="343">
        <f t="shared" si="32"/>
        <v>0</v>
      </c>
      <c r="X68" s="343">
        <f t="shared" si="32"/>
        <v>0</v>
      </c>
      <c r="Y68" s="343">
        <f t="shared" si="32"/>
        <v>0</v>
      </c>
      <c r="Z68" s="343">
        <f t="shared" si="32"/>
        <v>0</v>
      </c>
      <c r="AA68" s="343">
        <f t="shared" si="32"/>
        <v>0</v>
      </c>
      <c r="AB68" s="343">
        <f t="shared" si="32"/>
        <v>0</v>
      </c>
      <c r="AC68" s="343">
        <f t="shared" si="32"/>
        <v>0</v>
      </c>
      <c r="AD68" s="343">
        <f t="shared" si="32"/>
        <v>0</v>
      </c>
      <c r="AE68" s="343">
        <f t="shared" si="32"/>
        <v>2000000</v>
      </c>
      <c r="AF68" s="343">
        <f t="shared" si="32"/>
        <v>0</v>
      </c>
      <c r="AG68" s="343">
        <f t="shared" si="32"/>
        <v>0</v>
      </c>
      <c r="AH68" s="343">
        <f t="shared" si="32"/>
        <v>0</v>
      </c>
      <c r="AI68" s="343">
        <f t="shared" si="32"/>
        <v>0</v>
      </c>
      <c r="AJ68" s="343">
        <f t="shared" si="32"/>
        <v>0</v>
      </c>
      <c r="AK68" s="343">
        <f t="shared" si="32"/>
        <v>0</v>
      </c>
      <c r="AL68" s="343">
        <f t="shared" si="32"/>
        <v>0</v>
      </c>
      <c r="AM68" s="343">
        <f t="shared" si="32"/>
        <v>0</v>
      </c>
      <c r="AN68" s="343">
        <f t="shared" si="32"/>
        <v>0</v>
      </c>
      <c r="AO68" s="343">
        <f t="shared" si="32"/>
        <v>0</v>
      </c>
      <c r="AP68" s="343">
        <f t="shared" si="32"/>
        <v>0</v>
      </c>
      <c r="AQ68" s="343">
        <f t="shared" si="32"/>
        <v>0</v>
      </c>
      <c r="AR68" s="343">
        <f t="shared" si="32"/>
        <v>0</v>
      </c>
      <c r="AS68" s="343">
        <f t="shared" si="32"/>
        <v>0</v>
      </c>
      <c r="AT68" s="343">
        <f t="shared" si="32"/>
        <v>0</v>
      </c>
      <c r="AU68" s="343">
        <f t="shared" si="32"/>
        <v>0</v>
      </c>
      <c r="AV68" s="343">
        <f t="shared" si="32"/>
        <v>0</v>
      </c>
      <c r="AW68" s="343">
        <f t="shared" si="32"/>
        <v>0</v>
      </c>
      <c r="AX68" s="343">
        <f t="shared" si="32"/>
        <v>0</v>
      </c>
      <c r="AY68" s="343">
        <f t="shared" si="32"/>
        <v>0</v>
      </c>
      <c r="AZ68" s="343">
        <f t="shared" si="32"/>
        <v>0</v>
      </c>
      <c r="BA68" s="343">
        <f t="shared" si="32"/>
        <v>0</v>
      </c>
      <c r="BB68" s="343">
        <f t="shared" si="32"/>
        <v>0</v>
      </c>
      <c r="BC68" s="343">
        <f t="shared" si="32"/>
        <v>0</v>
      </c>
      <c r="BD68" s="343">
        <f t="shared" si="32"/>
        <v>0</v>
      </c>
      <c r="BE68" s="343">
        <f t="shared" si="32"/>
        <v>0</v>
      </c>
      <c r="BF68" s="343">
        <f t="shared" si="32"/>
        <v>0</v>
      </c>
      <c r="BG68" s="343">
        <f t="shared" si="5"/>
        <v>270575796</v>
      </c>
      <c r="BH68" s="343">
        <f t="shared" si="5"/>
        <v>263356666</v>
      </c>
      <c r="BI68" s="343">
        <f t="shared" si="5"/>
        <v>263356666</v>
      </c>
      <c r="BJ68" s="343">
        <f t="shared" si="5"/>
        <v>262246728</v>
      </c>
      <c r="BK68" s="291">
        <f>+SUM(BG69:BG70)-BG68</f>
        <v>0</v>
      </c>
      <c r="BL68" s="292">
        <f>+BG68-B68</f>
        <v>0</v>
      </c>
    </row>
    <row r="69" spans="1:64" ht="45.75" customHeight="1" x14ac:dyDescent="0.2">
      <c r="A69" s="293" t="s">
        <v>2046</v>
      </c>
      <c r="B69" s="344">
        <f>+[13]InfMesPptoCDP.rpt!$P$534</f>
        <v>270575796</v>
      </c>
      <c r="C69" s="345">
        <v>0</v>
      </c>
      <c r="D69" s="345">
        <v>0</v>
      </c>
      <c r="E69" s="345">
        <v>0</v>
      </c>
      <c r="F69" s="345">
        <v>0</v>
      </c>
      <c r="G69" s="345">
        <v>0</v>
      </c>
      <c r="H69" s="345">
        <v>0</v>
      </c>
      <c r="I69" s="345">
        <v>0</v>
      </c>
      <c r="J69" s="345">
        <v>0</v>
      </c>
      <c r="K69" s="345">
        <v>0</v>
      </c>
      <c r="L69" s="345">
        <v>0</v>
      </c>
      <c r="M69" s="345">
        <v>0</v>
      </c>
      <c r="N69" s="345">
        <v>0</v>
      </c>
      <c r="O69" s="345">
        <v>0</v>
      </c>
      <c r="P69" s="345">
        <v>0</v>
      </c>
      <c r="Q69" s="345">
        <v>0</v>
      </c>
      <c r="R69" s="345">
        <v>0</v>
      </c>
      <c r="S69" s="345">
        <v>0</v>
      </c>
      <c r="T69" s="345">
        <v>0</v>
      </c>
      <c r="U69" s="345">
        <v>0</v>
      </c>
      <c r="V69" s="345">
        <v>0</v>
      </c>
      <c r="W69" s="345">
        <v>0</v>
      </c>
      <c r="X69" s="345">
        <v>0</v>
      </c>
      <c r="Y69" s="345">
        <v>0</v>
      </c>
      <c r="Z69" s="345">
        <v>0</v>
      </c>
      <c r="AA69" s="345">
        <v>0</v>
      </c>
      <c r="AB69" s="345">
        <v>0</v>
      </c>
      <c r="AC69" s="345">
        <v>0</v>
      </c>
      <c r="AD69" s="345">
        <v>0</v>
      </c>
      <c r="AE69" s="345">
        <v>0</v>
      </c>
      <c r="AF69" s="345">
        <v>0</v>
      </c>
      <c r="AG69" s="345">
        <v>0</v>
      </c>
      <c r="AH69" s="345">
        <v>0</v>
      </c>
      <c r="AI69" s="345">
        <v>0</v>
      </c>
      <c r="AJ69" s="345">
        <v>0</v>
      </c>
      <c r="AK69" s="345">
        <v>0</v>
      </c>
      <c r="AL69" s="345">
        <v>0</v>
      </c>
      <c r="AM69" s="345">
        <v>0</v>
      </c>
      <c r="AN69" s="345">
        <v>0</v>
      </c>
      <c r="AO69" s="345">
        <v>0</v>
      </c>
      <c r="AP69" s="345">
        <v>0</v>
      </c>
      <c r="AQ69" s="345">
        <v>0</v>
      </c>
      <c r="AR69" s="345">
        <v>0</v>
      </c>
      <c r="AS69" s="345">
        <v>0</v>
      </c>
      <c r="AT69" s="345">
        <v>0</v>
      </c>
      <c r="AU69" s="345">
        <v>0</v>
      </c>
      <c r="AV69" s="345">
        <v>0</v>
      </c>
      <c r="AW69" s="345">
        <v>0</v>
      </c>
      <c r="AX69" s="345">
        <v>0</v>
      </c>
      <c r="AY69" s="345">
        <v>0</v>
      </c>
      <c r="AZ69" s="345">
        <v>0</v>
      </c>
      <c r="BA69" s="345">
        <v>0</v>
      </c>
      <c r="BB69" s="345">
        <v>0</v>
      </c>
      <c r="BC69" s="345">
        <v>0</v>
      </c>
      <c r="BD69" s="345">
        <v>0</v>
      </c>
      <c r="BE69" s="345">
        <v>0</v>
      </c>
      <c r="BF69" s="345">
        <v>0</v>
      </c>
      <c r="BG69" s="345">
        <f t="shared" si="5"/>
        <v>0</v>
      </c>
      <c r="BH69" s="345">
        <f t="shared" si="5"/>
        <v>0</v>
      </c>
      <c r="BI69" s="345">
        <f t="shared" si="5"/>
        <v>0</v>
      </c>
      <c r="BJ69" s="345">
        <f t="shared" si="5"/>
        <v>0</v>
      </c>
      <c r="BK69" s="287"/>
    </row>
    <row r="70" spans="1:64" ht="45.75" customHeight="1" x14ac:dyDescent="0.2">
      <c r="A70" s="297" t="s">
        <v>2047</v>
      </c>
      <c r="B70" s="349"/>
      <c r="C70" s="347">
        <f>+[13]InfMesPptoCDP.rpt!$P$535</f>
        <v>228575796</v>
      </c>
      <c r="D70" s="347">
        <f>+[13]InfMesPptoCDP.rpt!$Q$535</f>
        <v>226971401</v>
      </c>
      <c r="E70" s="347">
        <f>+[13]InfMesPptoCDP.rpt!$R$535</f>
        <v>226971401</v>
      </c>
      <c r="F70" s="347">
        <f>+[13]InfMesPptoCDP.rpt!$S$535</f>
        <v>225861463</v>
      </c>
      <c r="G70" s="348">
        <v>0</v>
      </c>
      <c r="H70" s="348">
        <v>0</v>
      </c>
      <c r="I70" s="348">
        <v>0</v>
      </c>
      <c r="J70" s="348">
        <v>0</v>
      </c>
      <c r="K70" s="348">
        <f>+[13]InfMesPptoCDP.rpt!$P$536</f>
        <v>40000000</v>
      </c>
      <c r="L70" s="348">
        <f>+[13]InfMesPptoCDP.rpt!$Q$536</f>
        <v>36385265</v>
      </c>
      <c r="M70" s="348">
        <f>+[13]InfMesPptoCDP.rpt!$R$536</f>
        <v>36385265</v>
      </c>
      <c r="N70" s="348">
        <f>+[13]InfMesPptoCDP.rpt!$S$536</f>
        <v>36385265</v>
      </c>
      <c r="O70" s="348">
        <v>0</v>
      </c>
      <c r="P70" s="348">
        <v>0</v>
      </c>
      <c r="Q70" s="348">
        <v>0</v>
      </c>
      <c r="R70" s="348">
        <v>0</v>
      </c>
      <c r="S70" s="348">
        <v>0</v>
      </c>
      <c r="T70" s="348">
        <v>0</v>
      </c>
      <c r="U70" s="348">
        <v>0</v>
      </c>
      <c r="V70" s="348">
        <v>0</v>
      </c>
      <c r="W70" s="348">
        <v>0</v>
      </c>
      <c r="X70" s="348">
        <v>0</v>
      </c>
      <c r="Y70" s="348">
        <v>0</v>
      </c>
      <c r="Z70" s="348">
        <v>0</v>
      </c>
      <c r="AA70" s="348">
        <v>0</v>
      </c>
      <c r="AB70" s="348">
        <v>0</v>
      </c>
      <c r="AC70" s="348">
        <v>0</v>
      </c>
      <c r="AD70" s="348">
        <v>0</v>
      </c>
      <c r="AE70" s="348">
        <f>+[13]InfMesPptoCDP.rpt!$P$537</f>
        <v>2000000</v>
      </c>
      <c r="AF70" s="348">
        <f>+[13]InfMesPptoCDP.rpt!$Q$537</f>
        <v>0</v>
      </c>
      <c r="AG70" s="348">
        <f>+[13]InfMesPptoCDP.rpt!$R$537</f>
        <v>0</v>
      </c>
      <c r="AH70" s="348">
        <f>+[13]InfMesPptoCDP.rpt!$S$537</f>
        <v>0</v>
      </c>
      <c r="AI70" s="348">
        <v>0</v>
      </c>
      <c r="AJ70" s="348">
        <v>0</v>
      </c>
      <c r="AK70" s="348">
        <v>0</v>
      </c>
      <c r="AL70" s="348">
        <v>0</v>
      </c>
      <c r="AM70" s="348">
        <v>0</v>
      </c>
      <c r="AN70" s="348">
        <v>0</v>
      </c>
      <c r="AO70" s="348">
        <v>0</v>
      </c>
      <c r="AP70" s="348">
        <v>0</v>
      </c>
      <c r="AQ70" s="348">
        <v>0</v>
      </c>
      <c r="AR70" s="348">
        <v>0</v>
      </c>
      <c r="AS70" s="348">
        <v>0</v>
      </c>
      <c r="AT70" s="348">
        <v>0</v>
      </c>
      <c r="AU70" s="348">
        <v>0</v>
      </c>
      <c r="AV70" s="348">
        <v>0</v>
      </c>
      <c r="AW70" s="348">
        <v>0</v>
      </c>
      <c r="AX70" s="348">
        <v>0</v>
      </c>
      <c r="AY70" s="348">
        <v>0</v>
      </c>
      <c r="AZ70" s="348">
        <v>0</v>
      </c>
      <c r="BA70" s="348">
        <v>0</v>
      </c>
      <c r="BB70" s="348">
        <v>0</v>
      </c>
      <c r="BC70" s="348">
        <v>0</v>
      </c>
      <c r="BD70" s="348">
        <v>0</v>
      </c>
      <c r="BE70" s="348">
        <v>0</v>
      </c>
      <c r="BF70" s="348">
        <v>0</v>
      </c>
      <c r="BG70" s="347">
        <f t="shared" ref="BG70:BJ102" si="33">+C70+G70+K70+O70+S70+W70+AA70+AE70+AI70+AM70+AQ70+AU70+AY70+BC70</f>
        <v>270575796</v>
      </c>
      <c r="BH70" s="347">
        <f t="shared" si="33"/>
        <v>263356666</v>
      </c>
      <c r="BI70" s="347">
        <f t="shared" si="33"/>
        <v>263356666</v>
      </c>
      <c r="BJ70" s="347">
        <f t="shared" si="33"/>
        <v>262246728</v>
      </c>
      <c r="BK70" s="302">
        <f>+SUM(BG69:BG70)-B69</f>
        <v>0</v>
      </c>
    </row>
    <row r="71" spans="1:64" ht="45.75" customHeight="1" x14ac:dyDescent="0.2">
      <c r="A71" s="303" t="s">
        <v>2048</v>
      </c>
      <c r="B71" s="343">
        <f>SUM(B72:B74)</f>
        <v>216359936</v>
      </c>
      <c r="C71" s="343">
        <f t="shared" ref="C71:BF71" si="34">SUM(C72:C74)</f>
        <v>216359936</v>
      </c>
      <c r="D71" s="343">
        <f t="shared" si="34"/>
        <v>209271582</v>
      </c>
      <c r="E71" s="343">
        <f t="shared" si="34"/>
        <v>209271582</v>
      </c>
      <c r="F71" s="343">
        <f t="shared" si="34"/>
        <v>207015662</v>
      </c>
      <c r="G71" s="343">
        <f t="shared" si="34"/>
        <v>0</v>
      </c>
      <c r="H71" s="343">
        <f t="shared" si="34"/>
        <v>0</v>
      </c>
      <c r="I71" s="343">
        <f t="shared" si="34"/>
        <v>0</v>
      </c>
      <c r="J71" s="343">
        <f t="shared" si="34"/>
        <v>0</v>
      </c>
      <c r="K71" s="343">
        <f t="shared" si="34"/>
        <v>0</v>
      </c>
      <c r="L71" s="343">
        <f t="shared" si="34"/>
        <v>0</v>
      </c>
      <c r="M71" s="343">
        <f t="shared" si="34"/>
        <v>0</v>
      </c>
      <c r="N71" s="343">
        <f t="shared" si="34"/>
        <v>0</v>
      </c>
      <c r="O71" s="343">
        <f t="shared" si="34"/>
        <v>0</v>
      </c>
      <c r="P71" s="343">
        <f t="shared" si="34"/>
        <v>0</v>
      </c>
      <c r="Q71" s="343">
        <f t="shared" si="34"/>
        <v>0</v>
      </c>
      <c r="R71" s="343">
        <f t="shared" si="34"/>
        <v>0</v>
      </c>
      <c r="S71" s="343">
        <f t="shared" si="34"/>
        <v>0</v>
      </c>
      <c r="T71" s="343">
        <f t="shared" si="34"/>
        <v>0</v>
      </c>
      <c r="U71" s="343">
        <f t="shared" si="34"/>
        <v>0</v>
      </c>
      <c r="V71" s="343">
        <f t="shared" si="34"/>
        <v>0</v>
      </c>
      <c r="W71" s="343">
        <f t="shared" si="34"/>
        <v>0</v>
      </c>
      <c r="X71" s="343">
        <f t="shared" si="34"/>
        <v>0</v>
      </c>
      <c r="Y71" s="343">
        <f t="shared" si="34"/>
        <v>0</v>
      </c>
      <c r="Z71" s="343">
        <f t="shared" si="34"/>
        <v>0</v>
      </c>
      <c r="AA71" s="343">
        <f t="shared" si="34"/>
        <v>0</v>
      </c>
      <c r="AB71" s="343">
        <f t="shared" si="34"/>
        <v>0</v>
      </c>
      <c r="AC71" s="343">
        <f t="shared" si="34"/>
        <v>0</v>
      </c>
      <c r="AD71" s="343">
        <f t="shared" si="34"/>
        <v>0</v>
      </c>
      <c r="AE71" s="343">
        <f t="shared" si="34"/>
        <v>0</v>
      </c>
      <c r="AF71" s="343">
        <f t="shared" si="34"/>
        <v>0</v>
      </c>
      <c r="AG71" s="343">
        <f t="shared" si="34"/>
        <v>0</v>
      </c>
      <c r="AH71" s="343">
        <f t="shared" si="34"/>
        <v>0</v>
      </c>
      <c r="AI71" s="343">
        <f t="shared" si="34"/>
        <v>0</v>
      </c>
      <c r="AJ71" s="343">
        <f t="shared" si="34"/>
        <v>0</v>
      </c>
      <c r="AK71" s="343">
        <f t="shared" si="34"/>
        <v>0</v>
      </c>
      <c r="AL71" s="343">
        <f t="shared" si="34"/>
        <v>0</v>
      </c>
      <c r="AM71" s="343">
        <f t="shared" si="34"/>
        <v>0</v>
      </c>
      <c r="AN71" s="343">
        <f t="shared" si="34"/>
        <v>0</v>
      </c>
      <c r="AO71" s="343">
        <f t="shared" si="34"/>
        <v>0</v>
      </c>
      <c r="AP71" s="343">
        <f t="shared" si="34"/>
        <v>0</v>
      </c>
      <c r="AQ71" s="343">
        <f t="shared" si="34"/>
        <v>0</v>
      </c>
      <c r="AR71" s="343">
        <f t="shared" si="34"/>
        <v>0</v>
      </c>
      <c r="AS71" s="343">
        <f t="shared" si="34"/>
        <v>0</v>
      </c>
      <c r="AT71" s="343">
        <f t="shared" si="34"/>
        <v>0</v>
      </c>
      <c r="AU71" s="343">
        <f t="shared" si="34"/>
        <v>0</v>
      </c>
      <c r="AV71" s="343">
        <f t="shared" si="34"/>
        <v>0</v>
      </c>
      <c r="AW71" s="343">
        <f t="shared" si="34"/>
        <v>0</v>
      </c>
      <c r="AX71" s="343">
        <f t="shared" si="34"/>
        <v>0</v>
      </c>
      <c r="AY71" s="343">
        <f t="shared" si="34"/>
        <v>0</v>
      </c>
      <c r="AZ71" s="343">
        <f t="shared" si="34"/>
        <v>0</v>
      </c>
      <c r="BA71" s="343">
        <f t="shared" si="34"/>
        <v>0</v>
      </c>
      <c r="BB71" s="343">
        <f t="shared" si="34"/>
        <v>0</v>
      </c>
      <c r="BC71" s="343">
        <f t="shared" si="34"/>
        <v>0</v>
      </c>
      <c r="BD71" s="343">
        <f t="shared" si="34"/>
        <v>0</v>
      </c>
      <c r="BE71" s="343">
        <f t="shared" si="34"/>
        <v>0</v>
      </c>
      <c r="BF71" s="343">
        <f t="shared" si="34"/>
        <v>0</v>
      </c>
      <c r="BG71" s="343">
        <f t="shared" si="33"/>
        <v>216359936</v>
      </c>
      <c r="BH71" s="343">
        <f t="shared" si="33"/>
        <v>209271582</v>
      </c>
      <c r="BI71" s="343">
        <f t="shared" si="33"/>
        <v>209271582</v>
      </c>
      <c r="BJ71" s="343">
        <f t="shared" si="33"/>
        <v>207015662</v>
      </c>
      <c r="BK71" s="291">
        <f>+SUM(BG72:BG74)-BG71</f>
        <v>0</v>
      </c>
      <c r="BL71" s="292">
        <f>+BG71-B71</f>
        <v>0</v>
      </c>
    </row>
    <row r="72" spans="1:64" ht="45.75" customHeight="1" x14ac:dyDescent="0.2">
      <c r="A72" s="297" t="s">
        <v>2049</v>
      </c>
      <c r="B72" s="344">
        <f>+[13]InfMesPptoCDP.rpt!$P$544</f>
        <v>216359936</v>
      </c>
      <c r="C72" s="347">
        <f>216359936/3</f>
        <v>72119978.666666672</v>
      </c>
      <c r="D72" s="347">
        <f t="shared" ref="D72:E74" si="35">209271582/3</f>
        <v>69757194</v>
      </c>
      <c r="E72" s="347">
        <f t="shared" si="35"/>
        <v>69757194</v>
      </c>
      <c r="F72" s="347">
        <f>207015662/3</f>
        <v>69005220.666666672</v>
      </c>
      <c r="G72" s="348">
        <v>0</v>
      </c>
      <c r="H72" s="348">
        <v>0</v>
      </c>
      <c r="I72" s="348">
        <v>0</v>
      </c>
      <c r="J72" s="348">
        <v>0</v>
      </c>
      <c r="K72" s="348">
        <v>0</v>
      </c>
      <c r="L72" s="348">
        <v>0</v>
      </c>
      <c r="M72" s="348">
        <v>0</v>
      </c>
      <c r="N72" s="348">
        <v>0</v>
      </c>
      <c r="O72" s="348">
        <v>0</v>
      </c>
      <c r="P72" s="348">
        <v>0</v>
      </c>
      <c r="Q72" s="348">
        <v>0</v>
      </c>
      <c r="R72" s="348">
        <v>0</v>
      </c>
      <c r="S72" s="348">
        <v>0</v>
      </c>
      <c r="T72" s="348">
        <v>0</v>
      </c>
      <c r="U72" s="348">
        <v>0</v>
      </c>
      <c r="V72" s="348">
        <v>0</v>
      </c>
      <c r="W72" s="348">
        <v>0</v>
      </c>
      <c r="X72" s="348">
        <v>0</v>
      </c>
      <c r="Y72" s="348">
        <v>0</v>
      </c>
      <c r="Z72" s="348">
        <v>0</v>
      </c>
      <c r="AA72" s="348">
        <v>0</v>
      </c>
      <c r="AB72" s="348">
        <v>0</v>
      </c>
      <c r="AC72" s="348">
        <v>0</v>
      </c>
      <c r="AD72" s="348">
        <v>0</v>
      </c>
      <c r="AE72" s="348">
        <v>0</v>
      </c>
      <c r="AF72" s="348">
        <v>0</v>
      </c>
      <c r="AG72" s="348">
        <v>0</v>
      </c>
      <c r="AH72" s="348">
        <v>0</v>
      </c>
      <c r="AI72" s="348">
        <v>0</v>
      </c>
      <c r="AJ72" s="348">
        <v>0</v>
      </c>
      <c r="AK72" s="348">
        <v>0</v>
      </c>
      <c r="AL72" s="348">
        <v>0</v>
      </c>
      <c r="AM72" s="348">
        <v>0</v>
      </c>
      <c r="AN72" s="348">
        <v>0</v>
      </c>
      <c r="AO72" s="348">
        <v>0</v>
      </c>
      <c r="AP72" s="348">
        <v>0</v>
      </c>
      <c r="AQ72" s="348">
        <v>0</v>
      </c>
      <c r="AR72" s="348">
        <v>0</v>
      </c>
      <c r="AS72" s="348">
        <v>0</v>
      </c>
      <c r="AT72" s="348">
        <v>0</v>
      </c>
      <c r="AU72" s="348">
        <v>0</v>
      </c>
      <c r="AV72" s="348">
        <v>0</v>
      </c>
      <c r="AW72" s="348">
        <v>0</v>
      </c>
      <c r="AX72" s="348">
        <v>0</v>
      </c>
      <c r="AY72" s="348">
        <v>0</v>
      </c>
      <c r="AZ72" s="348">
        <v>0</v>
      </c>
      <c r="BA72" s="348">
        <v>0</v>
      </c>
      <c r="BB72" s="348">
        <v>0</v>
      </c>
      <c r="BC72" s="348">
        <v>0</v>
      </c>
      <c r="BD72" s="348">
        <v>0</v>
      </c>
      <c r="BE72" s="348">
        <v>0</v>
      </c>
      <c r="BF72" s="348">
        <v>0</v>
      </c>
      <c r="BG72" s="347">
        <f t="shared" si="33"/>
        <v>72119978.666666672</v>
      </c>
      <c r="BH72" s="347">
        <f t="shared" si="33"/>
        <v>69757194</v>
      </c>
      <c r="BI72" s="347">
        <f t="shared" si="33"/>
        <v>69757194</v>
      </c>
      <c r="BJ72" s="347">
        <f t="shared" si="33"/>
        <v>69005220.666666672</v>
      </c>
      <c r="BK72" s="287"/>
    </row>
    <row r="73" spans="1:64" ht="45.75" customHeight="1" x14ac:dyDescent="0.2">
      <c r="A73" s="297" t="s">
        <v>2050</v>
      </c>
      <c r="B73" s="346"/>
      <c r="C73" s="347">
        <f>216359936/3</f>
        <v>72119978.666666672</v>
      </c>
      <c r="D73" s="347">
        <f t="shared" si="35"/>
        <v>69757194</v>
      </c>
      <c r="E73" s="347">
        <f t="shared" si="35"/>
        <v>69757194</v>
      </c>
      <c r="F73" s="347">
        <f>207015662/3</f>
        <v>69005220.666666672</v>
      </c>
      <c r="G73" s="348">
        <v>0</v>
      </c>
      <c r="H73" s="348">
        <v>0</v>
      </c>
      <c r="I73" s="348">
        <v>0</v>
      </c>
      <c r="J73" s="348">
        <v>0</v>
      </c>
      <c r="K73" s="348">
        <v>0</v>
      </c>
      <c r="L73" s="348">
        <v>0</v>
      </c>
      <c r="M73" s="348">
        <v>0</v>
      </c>
      <c r="N73" s="348">
        <v>0</v>
      </c>
      <c r="O73" s="348">
        <v>0</v>
      </c>
      <c r="P73" s="348">
        <v>0</v>
      </c>
      <c r="Q73" s="348">
        <v>0</v>
      </c>
      <c r="R73" s="348">
        <v>0</v>
      </c>
      <c r="S73" s="348">
        <v>0</v>
      </c>
      <c r="T73" s="348">
        <v>0</v>
      </c>
      <c r="U73" s="348">
        <v>0</v>
      </c>
      <c r="V73" s="348">
        <v>0</v>
      </c>
      <c r="W73" s="348">
        <v>0</v>
      </c>
      <c r="X73" s="348">
        <v>0</v>
      </c>
      <c r="Y73" s="348">
        <v>0</v>
      </c>
      <c r="Z73" s="348">
        <v>0</v>
      </c>
      <c r="AA73" s="348">
        <v>0</v>
      </c>
      <c r="AB73" s="348">
        <v>0</v>
      </c>
      <c r="AC73" s="348">
        <v>0</v>
      </c>
      <c r="AD73" s="348">
        <v>0</v>
      </c>
      <c r="AE73" s="348">
        <v>0</v>
      </c>
      <c r="AF73" s="348">
        <v>0</v>
      </c>
      <c r="AG73" s="348">
        <v>0</v>
      </c>
      <c r="AH73" s="348">
        <v>0</v>
      </c>
      <c r="AI73" s="348">
        <v>0</v>
      </c>
      <c r="AJ73" s="348">
        <v>0</v>
      </c>
      <c r="AK73" s="348">
        <v>0</v>
      </c>
      <c r="AL73" s="348">
        <v>0</v>
      </c>
      <c r="AM73" s="348">
        <v>0</v>
      </c>
      <c r="AN73" s="348">
        <v>0</v>
      </c>
      <c r="AO73" s="348">
        <v>0</v>
      </c>
      <c r="AP73" s="348">
        <v>0</v>
      </c>
      <c r="AQ73" s="348">
        <v>0</v>
      </c>
      <c r="AR73" s="348">
        <v>0</v>
      </c>
      <c r="AS73" s="348">
        <v>0</v>
      </c>
      <c r="AT73" s="348">
        <v>0</v>
      </c>
      <c r="AU73" s="348">
        <v>0</v>
      </c>
      <c r="AV73" s="348">
        <v>0</v>
      </c>
      <c r="AW73" s="348">
        <v>0</v>
      </c>
      <c r="AX73" s="348">
        <v>0</v>
      </c>
      <c r="AY73" s="348">
        <v>0</v>
      </c>
      <c r="AZ73" s="348">
        <v>0</v>
      </c>
      <c r="BA73" s="348">
        <v>0</v>
      </c>
      <c r="BB73" s="348">
        <v>0</v>
      </c>
      <c r="BC73" s="348">
        <v>0</v>
      </c>
      <c r="BD73" s="348">
        <v>0</v>
      </c>
      <c r="BE73" s="348">
        <v>0</v>
      </c>
      <c r="BF73" s="348">
        <v>0</v>
      </c>
      <c r="BG73" s="347">
        <f t="shared" si="33"/>
        <v>72119978.666666672</v>
      </c>
      <c r="BH73" s="347">
        <f t="shared" si="33"/>
        <v>69757194</v>
      </c>
      <c r="BI73" s="347">
        <f t="shared" si="33"/>
        <v>69757194</v>
      </c>
      <c r="BJ73" s="347">
        <f t="shared" si="33"/>
        <v>69005220.666666672</v>
      </c>
      <c r="BK73" s="287"/>
    </row>
    <row r="74" spans="1:64" ht="45.75" customHeight="1" x14ac:dyDescent="0.2">
      <c r="A74" s="297" t="s">
        <v>2051</v>
      </c>
      <c r="B74" s="349"/>
      <c r="C74" s="347">
        <f>216359936/3</f>
        <v>72119978.666666672</v>
      </c>
      <c r="D74" s="347">
        <f t="shared" si="35"/>
        <v>69757194</v>
      </c>
      <c r="E74" s="347">
        <f t="shared" si="35"/>
        <v>69757194</v>
      </c>
      <c r="F74" s="347">
        <f>207015662/3</f>
        <v>69005220.666666672</v>
      </c>
      <c r="G74" s="348">
        <v>0</v>
      </c>
      <c r="H74" s="348">
        <v>0</v>
      </c>
      <c r="I74" s="348">
        <v>0</v>
      </c>
      <c r="J74" s="348">
        <v>0</v>
      </c>
      <c r="K74" s="348">
        <v>0</v>
      </c>
      <c r="L74" s="348">
        <v>0</v>
      </c>
      <c r="M74" s="348">
        <v>0</v>
      </c>
      <c r="N74" s="348">
        <v>0</v>
      </c>
      <c r="O74" s="348">
        <v>0</v>
      </c>
      <c r="P74" s="348">
        <v>0</v>
      </c>
      <c r="Q74" s="348">
        <v>0</v>
      </c>
      <c r="R74" s="348">
        <v>0</v>
      </c>
      <c r="S74" s="348">
        <v>0</v>
      </c>
      <c r="T74" s="348">
        <v>0</v>
      </c>
      <c r="U74" s="348">
        <v>0</v>
      </c>
      <c r="V74" s="348">
        <v>0</v>
      </c>
      <c r="W74" s="348">
        <v>0</v>
      </c>
      <c r="X74" s="348">
        <v>0</v>
      </c>
      <c r="Y74" s="348">
        <v>0</v>
      </c>
      <c r="Z74" s="348">
        <v>0</v>
      </c>
      <c r="AA74" s="348">
        <v>0</v>
      </c>
      <c r="AB74" s="348">
        <v>0</v>
      </c>
      <c r="AC74" s="348">
        <v>0</v>
      </c>
      <c r="AD74" s="348">
        <v>0</v>
      </c>
      <c r="AE74" s="348">
        <v>0</v>
      </c>
      <c r="AF74" s="348">
        <v>0</v>
      </c>
      <c r="AG74" s="348">
        <v>0</v>
      </c>
      <c r="AH74" s="348">
        <v>0</v>
      </c>
      <c r="AI74" s="348">
        <v>0</v>
      </c>
      <c r="AJ74" s="348">
        <v>0</v>
      </c>
      <c r="AK74" s="348">
        <v>0</v>
      </c>
      <c r="AL74" s="348">
        <v>0</v>
      </c>
      <c r="AM74" s="348">
        <v>0</v>
      </c>
      <c r="AN74" s="348">
        <v>0</v>
      </c>
      <c r="AO74" s="348">
        <v>0</v>
      </c>
      <c r="AP74" s="348">
        <v>0</v>
      </c>
      <c r="AQ74" s="348">
        <v>0</v>
      </c>
      <c r="AR74" s="348">
        <v>0</v>
      </c>
      <c r="AS74" s="348">
        <v>0</v>
      </c>
      <c r="AT74" s="348">
        <v>0</v>
      </c>
      <c r="AU74" s="348">
        <v>0</v>
      </c>
      <c r="AV74" s="348">
        <v>0</v>
      </c>
      <c r="AW74" s="348">
        <v>0</v>
      </c>
      <c r="AX74" s="348">
        <v>0</v>
      </c>
      <c r="AY74" s="348">
        <v>0</v>
      </c>
      <c r="AZ74" s="348">
        <v>0</v>
      </c>
      <c r="BA74" s="348">
        <v>0</v>
      </c>
      <c r="BB74" s="348">
        <v>0</v>
      </c>
      <c r="BC74" s="348">
        <v>0</v>
      </c>
      <c r="BD74" s="348">
        <v>0</v>
      </c>
      <c r="BE74" s="348">
        <v>0</v>
      </c>
      <c r="BF74" s="348">
        <v>0</v>
      </c>
      <c r="BG74" s="347">
        <f t="shared" si="33"/>
        <v>72119978.666666672</v>
      </c>
      <c r="BH74" s="347">
        <f t="shared" si="33"/>
        <v>69757194</v>
      </c>
      <c r="BI74" s="347">
        <f t="shared" si="33"/>
        <v>69757194</v>
      </c>
      <c r="BJ74" s="347">
        <f t="shared" si="33"/>
        <v>69005220.666666672</v>
      </c>
      <c r="BK74" s="302">
        <f>+SUM(BG72:BG74)-B72</f>
        <v>0</v>
      </c>
    </row>
    <row r="75" spans="1:64" ht="45.75" customHeight="1" x14ac:dyDescent="0.2">
      <c r="A75" s="303" t="s">
        <v>2052</v>
      </c>
      <c r="B75" s="343">
        <f>SUM(B76:B82)</f>
        <v>1773441258.1299999</v>
      </c>
      <c r="C75" s="343">
        <f t="shared" ref="C75:BF75" si="36">SUM(C76:C82)</f>
        <v>1723441258.1299999</v>
      </c>
      <c r="D75" s="343">
        <f t="shared" si="36"/>
        <v>1721277332.03</v>
      </c>
      <c r="E75" s="343">
        <f t="shared" si="36"/>
        <v>1715277332.0299997</v>
      </c>
      <c r="F75" s="343">
        <f t="shared" si="36"/>
        <v>1501486770.0300002</v>
      </c>
      <c r="G75" s="343">
        <f t="shared" si="36"/>
        <v>0</v>
      </c>
      <c r="H75" s="343">
        <f t="shared" si="36"/>
        <v>0</v>
      </c>
      <c r="I75" s="343">
        <f t="shared" si="36"/>
        <v>0</v>
      </c>
      <c r="J75" s="343">
        <f t="shared" si="36"/>
        <v>0</v>
      </c>
      <c r="K75" s="343">
        <f t="shared" si="36"/>
        <v>0</v>
      </c>
      <c r="L75" s="343">
        <f t="shared" si="36"/>
        <v>0</v>
      </c>
      <c r="M75" s="343">
        <f t="shared" si="36"/>
        <v>0</v>
      </c>
      <c r="N75" s="343">
        <f t="shared" si="36"/>
        <v>0</v>
      </c>
      <c r="O75" s="343">
        <f t="shared" si="36"/>
        <v>0</v>
      </c>
      <c r="P75" s="343">
        <f t="shared" si="36"/>
        <v>0</v>
      </c>
      <c r="Q75" s="343">
        <f t="shared" si="36"/>
        <v>0</v>
      </c>
      <c r="R75" s="343">
        <f t="shared" si="36"/>
        <v>0</v>
      </c>
      <c r="S75" s="343">
        <f t="shared" si="36"/>
        <v>0</v>
      </c>
      <c r="T75" s="343">
        <f t="shared" si="36"/>
        <v>0</v>
      </c>
      <c r="U75" s="343">
        <f t="shared" si="36"/>
        <v>0</v>
      </c>
      <c r="V75" s="343">
        <f t="shared" si="36"/>
        <v>0</v>
      </c>
      <c r="W75" s="343">
        <f t="shared" si="36"/>
        <v>0</v>
      </c>
      <c r="X75" s="343">
        <f t="shared" si="36"/>
        <v>0</v>
      </c>
      <c r="Y75" s="343">
        <f t="shared" si="36"/>
        <v>0</v>
      </c>
      <c r="Z75" s="343">
        <f t="shared" si="36"/>
        <v>0</v>
      </c>
      <c r="AA75" s="343">
        <f t="shared" si="36"/>
        <v>0</v>
      </c>
      <c r="AB75" s="343">
        <f t="shared" si="36"/>
        <v>0</v>
      </c>
      <c r="AC75" s="343">
        <f t="shared" si="36"/>
        <v>0</v>
      </c>
      <c r="AD75" s="343">
        <f t="shared" si="36"/>
        <v>0</v>
      </c>
      <c r="AE75" s="343">
        <f t="shared" si="36"/>
        <v>50000000</v>
      </c>
      <c r="AF75" s="343">
        <f t="shared" si="36"/>
        <v>49906913</v>
      </c>
      <c r="AG75" s="343">
        <f t="shared" si="36"/>
        <v>47855908.999999993</v>
      </c>
      <c r="AH75" s="343">
        <f t="shared" si="36"/>
        <v>47855908.999999993</v>
      </c>
      <c r="AI75" s="343">
        <f t="shared" si="36"/>
        <v>0</v>
      </c>
      <c r="AJ75" s="343">
        <f t="shared" si="36"/>
        <v>0</v>
      </c>
      <c r="AK75" s="343">
        <f t="shared" si="36"/>
        <v>0</v>
      </c>
      <c r="AL75" s="343">
        <f t="shared" si="36"/>
        <v>0</v>
      </c>
      <c r="AM75" s="343">
        <f t="shared" si="36"/>
        <v>0</v>
      </c>
      <c r="AN75" s="343">
        <f t="shared" si="36"/>
        <v>0</v>
      </c>
      <c r="AO75" s="343">
        <f t="shared" si="36"/>
        <v>0</v>
      </c>
      <c r="AP75" s="343">
        <f t="shared" si="36"/>
        <v>0</v>
      </c>
      <c r="AQ75" s="343">
        <f t="shared" si="36"/>
        <v>0</v>
      </c>
      <c r="AR75" s="343">
        <f t="shared" si="36"/>
        <v>0</v>
      </c>
      <c r="AS75" s="343">
        <f t="shared" si="36"/>
        <v>0</v>
      </c>
      <c r="AT75" s="343">
        <f t="shared" si="36"/>
        <v>0</v>
      </c>
      <c r="AU75" s="343">
        <f t="shared" si="36"/>
        <v>0</v>
      </c>
      <c r="AV75" s="343">
        <f t="shared" si="36"/>
        <v>0</v>
      </c>
      <c r="AW75" s="343">
        <f t="shared" si="36"/>
        <v>0</v>
      </c>
      <c r="AX75" s="343">
        <f t="shared" si="36"/>
        <v>0</v>
      </c>
      <c r="AY75" s="343">
        <f t="shared" si="36"/>
        <v>0</v>
      </c>
      <c r="AZ75" s="343">
        <f t="shared" si="36"/>
        <v>0</v>
      </c>
      <c r="BA75" s="343">
        <f t="shared" si="36"/>
        <v>0</v>
      </c>
      <c r="BB75" s="343">
        <f t="shared" si="36"/>
        <v>0</v>
      </c>
      <c r="BC75" s="343">
        <f t="shared" si="36"/>
        <v>0</v>
      </c>
      <c r="BD75" s="343">
        <f t="shared" si="36"/>
        <v>0</v>
      </c>
      <c r="BE75" s="343">
        <f t="shared" si="36"/>
        <v>0</v>
      </c>
      <c r="BF75" s="343">
        <f t="shared" si="36"/>
        <v>0</v>
      </c>
      <c r="BG75" s="343">
        <f t="shared" si="33"/>
        <v>1773441258.1299999</v>
      </c>
      <c r="BH75" s="343">
        <f t="shared" si="33"/>
        <v>1771184245.03</v>
      </c>
      <c r="BI75" s="343">
        <f t="shared" si="33"/>
        <v>1763133241.0299997</v>
      </c>
      <c r="BJ75" s="343">
        <f t="shared" si="33"/>
        <v>1549342679.0300002</v>
      </c>
      <c r="BK75" s="291">
        <f>+SUM(BG76:BG82)-B75</f>
        <v>0</v>
      </c>
      <c r="BL75" s="292">
        <f>+BG75-B75</f>
        <v>0</v>
      </c>
    </row>
    <row r="76" spans="1:64" ht="45.75" customHeight="1" x14ac:dyDescent="0.2">
      <c r="A76" s="297" t="s">
        <v>2053</v>
      </c>
      <c r="B76" s="344">
        <f>+[13]InfMesPptoCDP.rpt!$P$553</f>
        <v>1773441258.1299999</v>
      </c>
      <c r="C76" s="347">
        <f t="shared" ref="C76:C82" si="37">1723441258.13/7</f>
        <v>246205894.01857144</v>
      </c>
      <c r="D76" s="347">
        <f t="shared" ref="D76:D82" si="38">1721277332.03/7</f>
        <v>245896761.71857142</v>
      </c>
      <c r="E76" s="347">
        <f t="shared" ref="E76:E82" si="39">1715277332.03/7</f>
        <v>245039618.86142856</v>
      </c>
      <c r="F76" s="347">
        <f t="shared" ref="F76:F82" si="40">1501486770.03/7</f>
        <v>214498110.00428572</v>
      </c>
      <c r="G76" s="348">
        <v>0</v>
      </c>
      <c r="H76" s="348">
        <v>0</v>
      </c>
      <c r="I76" s="348">
        <v>0</v>
      </c>
      <c r="J76" s="348">
        <v>0</v>
      </c>
      <c r="K76" s="348">
        <v>0</v>
      </c>
      <c r="L76" s="348">
        <v>0</v>
      </c>
      <c r="M76" s="348">
        <v>0</v>
      </c>
      <c r="N76" s="348">
        <v>0</v>
      </c>
      <c r="O76" s="348">
        <v>0</v>
      </c>
      <c r="P76" s="348">
        <v>0</v>
      </c>
      <c r="Q76" s="348">
        <v>0</v>
      </c>
      <c r="R76" s="348">
        <v>0</v>
      </c>
      <c r="S76" s="348">
        <v>0</v>
      </c>
      <c r="T76" s="348">
        <v>0</v>
      </c>
      <c r="U76" s="348">
        <v>0</v>
      </c>
      <c r="V76" s="348">
        <v>0</v>
      </c>
      <c r="W76" s="348">
        <v>0</v>
      </c>
      <c r="X76" s="348">
        <v>0</v>
      </c>
      <c r="Y76" s="348">
        <v>0</v>
      </c>
      <c r="Z76" s="348">
        <v>0</v>
      </c>
      <c r="AA76" s="348">
        <v>0</v>
      </c>
      <c r="AB76" s="348">
        <v>0</v>
      </c>
      <c r="AC76" s="348">
        <v>0</v>
      </c>
      <c r="AD76" s="348">
        <v>0</v>
      </c>
      <c r="AE76" s="347">
        <f t="shared" ref="AE76:AE82" si="41">50000000/7</f>
        <v>7142857.1428571427</v>
      </c>
      <c r="AF76" s="347">
        <f t="shared" ref="AF76:AF82" si="42">49906913/7</f>
        <v>7129559</v>
      </c>
      <c r="AG76" s="347">
        <f t="shared" ref="AG76:AH82" si="43">47855909/7</f>
        <v>6836558.4285714282</v>
      </c>
      <c r="AH76" s="347">
        <f t="shared" si="43"/>
        <v>6836558.4285714282</v>
      </c>
      <c r="AI76" s="348">
        <v>0</v>
      </c>
      <c r="AJ76" s="348">
        <v>0</v>
      </c>
      <c r="AK76" s="348">
        <v>0</v>
      </c>
      <c r="AL76" s="348">
        <v>0</v>
      </c>
      <c r="AM76" s="348">
        <v>0</v>
      </c>
      <c r="AN76" s="348">
        <v>0</v>
      </c>
      <c r="AO76" s="348">
        <v>0</v>
      </c>
      <c r="AP76" s="348">
        <v>0</v>
      </c>
      <c r="AQ76" s="348">
        <v>0</v>
      </c>
      <c r="AR76" s="348">
        <v>0</v>
      </c>
      <c r="AS76" s="348">
        <v>0</v>
      </c>
      <c r="AT76" s="348">
        <v>0</v>
      </c>
      <c r="AU76" s="348">
        <v>0</v>
      </c>
      <c r="AV76" s="348">
        <v>0</v>
      </c>
      <c r="AW76" s="348">
        <v>0</v>
      </c>
      <c r="AX76" s="348">
        <v>0</v>
      </c>
      <c r="AY76" s="348">
        <v>0</v>
      </c>
      <c r="AZ76" s="348">
        <v>0</v>
      </c>
      <c r="BA76" s="348">
        <v>0</v>
      </c>
      <c r="BB76" s="348">
        <v>0</v>
      </c>
      <c r="BC76" s="348">
        <v>0</v>
      </c>
      <c r="BD76" s="348">
        <v>0</v>
      </c>
      <c r="BE76" s="348">
        <v>0</v>
      </c>
      <c r="BF76" s="348">
        <v>0</v>
      </c>
      <c r="BG76" s="347">
        <f t="shared" si="33"/>
        <v>253348751.16142857</v>
      </c>
      <c r="BH76" s="347">
        <f t="shared" si="33"/>
        <v>253026320.71857142</v>
      </c>
      <c r="BI76" s="347">
        <f t="shared" si="33"/>
        <v>251876177.28999999</v>
      </c>
      <c r="BJ76" s="347">
        <f t="shared" si="33"/>
        <v>221334668.43285716</v>
      </c>
      <c r="BK76" s="287"/>
    </row>
    <row r="77" spans="1:64" ht="45.75" customHeight="1" x14ac:dyDescent="0.2">
      <c r="A77" s="297" t="s">
        <v>2054</v>
      </c>
      <c r="B77" s="346"/>
      <c r="C77" s="347">
        <f t="shared" si="37"/>
        <v>246205894.01857144</v>
      </c>
      <c r="D77" s="347">
        <f t="shared" si="38"/>
        <v>245896761.71857142</v>
      </c>
      <c r="E77" s="347">
        <f t="shared" si="39"/>
        <v>245039618.86142856</v>
      </c>
      <c r="F77" s="347">
        <f t="shared" si="40"/>
        <v>214498110.00428572</v>
      </c>
      <c r="G77" s="348">
        <v>0</v>
      </c>
      <c r="H77" s="348">
        <v>0</v>
      </c>
      <c r="I77" s="348">
        <v>0</v>
      </c>
      <c r="J77" s="348">
        <v>0</v>
      </c>
      <c r="K77" s="348">
        <v>0</v>
      </c>
      <c r="L77" s="348">
        <v>0</v>
      </c>
      <c r="M77" s="348">
        <v>0</v>
      </c>
      <c r="N77" s="348">
        <v>0</v>
      </c>
      <c r="O77" s="348">
        <v>0</v>
      </c>
      <c r="P77" s="348">
        <v>0</v>
      </c>
      <c r="Q77" s="348">
        <v>0</v>
      </c>
      <c r="R77" s="348">
        <v>0</v>
      </c>
      <c r="S77" s="348">
        <v>0</v>
      </c>
      <c r="T77" s="348">
        <v>0</v>
      </c>
      <c r="U77" s="348">
        <v>0</v>
      </c>
      <c r="V77" s="348">
        <v>0</v>
      </c>
      <c r="W77" s="348">
        <v>0</v>
      </c>
      <c r="X77" s="348">
        <v>0</v>
      </c>
      <c r="Y77" s="348">
        <v>0</v>
      </c>
      <c r="Z77" s="348">
        <v>0</v>
      </c>
      <c r="AA77" s="348">
        <v>0</v>
      </c>
      <c r="AB77" s="348">
        <v>0</v>
      </c>
      <c r="AC77" s="348">
        <v>0</v>
      </c>
      <c r="AD77" s="348">
        <v>0</v>
      </c>
      <c r="AE77" s="347">
        <f t="shared" si="41"/>
        <v>7142857.1428571427</v>
      </c>
      <c r="AF77" s="347">
        <f t="shared" si="42"/>
        <v>7129559</v>
      </c>
      <c r="AG77" s="347">
        <f t="shared" si="43"/>
        <v>6836558.4285714282</v>
      </c>
      <c r="AH77" s="347">
        <f t="shared" si="43"/>
        <v>6836558.4285714282</v>
      </c>
      <c r="AI77" s="348">
        <v>0</v>
      </c>
      <c r="AJ77" s="348">
        <v>0</v>
      </c>
      <c r="AK77" s="348">
        <v>0</v>
      </c>
      <c r="AL77" s="348">
        <v>0</v>
      </c>
      <c r="AM77" s="348">
        <v>0</v>
      </c>
      <c r="AN77" s="348">
        <v>0</v>
      </c>
      <c r="AO77" s="348">
        <v>0</v>
      </c>
      <c r="AP77" s="348">
        <v>0</v>
      </c>
      <c r="AQ77" s="348">
        <v>0</v>
      </c>
      <c r="AR77" s="348">
        <v>0</v>
      </c>
      <c r="AS77" s="348">
        <v>0</v>
      </c>
      <c r="AT77" s="348">
        <v>0</v>
      </c>
      <c r="AU77" s="348">
        <v>0</v>
      </c>
      <c r="AV77" s="348">
        <v>0</v>
      </c>
      <c r="AW77" s="348">
        <v>0</v>
      </c>
      <c r="AX77" s="348">
        <v>0</v>
      </c>
      <c r="AY77" s="348">
        <v>0</v>
      </c>
      <c r="AZ77" s="348">
        <v>0</v>
      </c>
      <c r="BA77" s="348">
        <v>0</v>
      </c>
      <c r="BB77" s="348">
        <v>0</v>
      </c>
      <c r="BC77" s="348">
        <v>0</v>
      </c>
      <c r="BD77" s="348">
        <v>0</v>
      </c>
      <c r="BE77" s="348">
        <v>0</v>
      </c>
      <c r="BF77" s="348">
        <v>0</v>
      </c>
      <c r="BG77" s="347">
        <f t="shared" si="33"/>
        <v>253348751.16142857</v>
      </c>
      <c r="BH77" s="347">
        <f t="shared" si="33"/>
        <v>253026320.71857142</v>
      </c>
      <c r="BI77" s="347">
        <f t="shared" si="33"/>
        <v>251876177.28999999</v>
      </c>
      <c r="BJ77" s="347">
        <f t="shared" si="33"/>
        <v>221334668.43285716</v>
      </c>
      <c r="BK77" s="287"/>
    </row>
    <row r="78" spans="1:64" ht="45.75" customHeight="1" x14ac:dyDescent="0.2">
      <c r="A78" s="297" t="s">
        <v>2055</v>
      </c>
      <c r="B78" s="346"/>
      <c r="C78" s="347">
        <f t="shared" si="37"/>
        <v>246205894.01857144</v>
      </c>
      <c r="D78" s="347">
        <f t="shared" si="38"/>
        <v>245896761.71857142</v>
      </c>
      <c r="E78" s="347">
        <f t="shared" si="39"/>
        <v>245039618.86142856</v>
      </c>
      <c r="F78" s="347">
        <f t="shared" si="40"/>
        <v>214498110.00428572</v>
      </c>
      <c r="G78" s="348">
        <v>0</v>
      </c>
      <c r="H78" s="348">
        <v>0</v>
      </c>
      <c r="I78" s="348">
        <v>0</v>
      </c>
      <c r="J78" s="348">
        <v>0</v>
      </c>
      <c r="K78" s="348">
        <v>0</v>
      </c>
      <c r="L78" s="348">
        <v>0</v>
      </c>
      <c r="M78" s="348">
        <v>0</v>
      </c>
      <c r="N78" s="348">
        <v>0</v>
      </c>
      <c r="O78" s="348">
        <v>0</v>
      </c>
      <c r="P78" s="348">
        <v>0</v>
      </c>
      <c r="Q78" s="348">
        <v>0</v>
      </c>
      <c r="R78" s="348">
        <v>0</v>
      </c>
      <c r="S78" s="348">
        <v>0</v>
      </c>
      <c r="T78" s="348">
        <v>0</v>
      </c>
      <c r="U78" s="348">
        <v>0</v>
      </c>
      <c r="V78" s="348">
        <v>0</v>
      </c>
      <c r="W78" s="348">
        <v>0</v>
      </c>
      <c r="X78" s="348">
        <v>0</v>
      </c>
      <c r="Y78" s="348">
        <v>0</v>
      </c>
      <c r="Z78" s="348">
        <v>0</v>
      </c>
      <c r="AA78" s="348">
        <v>0</v>
      </c>
      <c r="AB78" s="348">
        <v>0</v>
      </c>
      <c r="AC78" s="348">
        <v>0</v>
      </c>
      <c r="AD78" s="348">
        <v>0</v>
      </c>
      <c r="AE78" s="347">
        <f t="shared" si="41"/>
        <v>7142857.1428571427</v>
      </c>
      <c r="AF78" s="347">
        <f t="shared" si="42"/>
        <v>7129559</v>
      </c>
      <c r="AG78" s="347">
        <f t="shared" si="43"/>
        <v>6836558.4285714282</v>
      </c>
      <c r="AH78" s="347">
        <f t="shared" si="43"/>
        <v>6836558.4285714282</v>
      </c>
      <c r="AI78" s="348">
        <v>0</v>
      </c>
      <c r="AJ78" s="348">
        <v>0</v>
      </c>
      <c r="AK78" s="348">
        <v>0</v>
      </c>
      <c r="AL78" s="348">
        <v>0</v>
      </c>
      <c r="AM78" s="348">
        <v>0</v>
      </c>
      <c r="AN78" s="348">
        <v>0</v>
      </c>
      <c r="AO78" s="348">
        <v>0</v>
      </c>
      <c r="AP78" s="348">
        <v>0</v>
      </c>
      <c r="AQ78" s="348">
        <v>0</v>
      </c>
      <c r="AR78" s="348">
        <v>0</v>
      </c>
      <c r="AS78" s="348">
        <v>0</v>
      </c>
      <c r="AT78" s="348">
        <v>0</v>
      </c>
      <c r="AU78" s="348">
        <v>0</v>
      </c>
      <c r="AV78" s="348">
        <v>0</v>
      </c>
      <c r="AW78" s="348">
        <v>0</v>
      </c>
      <c r="AX78" s="348">
        <v>0</v>
      </c>
      <c r="AY78" s="348">
        <v>0</v>
      </c>
      <c r="AZ78" s="348">
        <v>0</v>
      </c>
      <c r="BA78" s="348">
        <v>0</v>
      </c>
      <c r="BB78" s="348">
        <v>0</v>
      </c>
      <c r="BC78" s="348">
        <v>0</v>
      </c>
      <c r="BD78" s="348">
        <v>0</v>
      </c>
      <c r="BE78" s="348">
        <v>0</v>
      </c>
      <c r="BF78" s="348">
        <v>0</v>
      </c>
      <c r="BG78" s="347">
        <f t="shared" si="33"/>
        <v>253348751.16142857</v>
      </c>
      <c r="BH78" s="347">
        <f t="shared" si="33"/>
        <v>253026320.71857142</v>
      </c>
      <c r="BI78" s="347">
        <f t="shared" si="33"/>
        <v>251876177.28999999</v>
      </c>
      <c r="BJ78" s="347">
        <f t="shared" si="33"/>
        <v>221334668.43285716</v>
      </c>
      <c r="BK78" s="287"/>
    </row>
    <row r="79" spans="1:64" ht="45.75" customHeight="1" x14ac:dyDescent="0.2">
      <c r="A79" s="297" t="s">
        <v>2056</v>
      </c>
      <c r="B79" s="346"/>
      <c r="C79" s="347">
        <f t="shared" si="37"/>
        <v>246205894.01857144</v>
      </c>
      <c r="D79" s="347">
        <f t="shared" si="38"/>
        <v>245896761.71857142</v>
      </c>
      <c r="E79" s="347">
        <f t="shared" si="39"/>
        <v>245039618.86142856</v>
      </c>
      <c r="F79" s="347">
        <f t="shared" si="40"/>
        <v>214498110.00428572</v>
      </c>
      <c r="G79" s="348">
        <v>0</v>
      </c>
      <c r="H79" s="348">
        <v>0</v>
      </c>
      <c r="I79" s="348">
        <v>0</v>
      </c>
      <c r="J79" s="348">
        <v>0</v>
      </c>
      <c r="K79" s="348">
        <v>0</v>
      </c>
      <c r="L79" s="348">
        <v>0</v>
      </c>
      <c r="M79" s="348">
        <v>0</v>
      </c>
      <c r="N79" s="348">
        <v>0</v>
      </c>
      <c r="O79" s="348">
        <v>0</v>
      </c>
      <c r="P79" s="348">
        <v>0</v>
      </c>
      <c r="Q79" s="348">
        <v>0</v>
      </c>
      <c r="R79" s="348">
        <v>0</v>
      </c>
      <c r="S79" s="348">
        <v>0</v>
      </c>
      <c r="T79" s="348">
        <v>0</v>
      </c>
      <c r="U79" s="348">
        <v>0</v>
      </c>
      <c r="V79" s="348">
        <v>0</v>
      </c>
      <c r="W79" s="348">
        <v>0</v>
      </c>
      <c r="X79" s="348">
        <v>0</v>
      </c>
      <c r="Y79" s="348">
        <v>0</v>
      </c>
      <c r="Z79" s="348">
        <v>0</v>
      </c>
      <c r="AA79" s="348">
        <v>0</v>
      </c>
      <c r="AB79" s="348">
        <v>0</v>
      </c>
      <c r="AC79" s="348">
        <v>0</v>
      </c>
      <c r="AD79" s="348">
        <v>0</v>
      </c>
      <c r="AE79" s="347">
        <f t="shared" si="41"/>
        <v>7142857.1428571427</v>
      </c>
      <c r="AF79" s="347">
        <f t="shared" si="42"/>
        <v>7129559</v>
      </c>
      <c r="AG79" s="347">
        <f t="shared" si="43"/>
        <v>6836558.4285714282</v>
      </c>
      <c r="AH79" s="347">
        <f t="shared" si="43"/>
        <v>6836558.4285714282</v>
      </c>
      <c r="AI79" s="348">
        <v>0</v>
      </c>
      <c r="AJ79" s="348">
        <v>0</v>
      </c>
      <c r="AK79" s="348">
        <v>0</v>
      </c>
      <c r="AL79" s="348">
        <v>0</v>
      </c>
      <c r="AM79" s="348">
        <v>0</v>
      </c>
      <c r="AN79" s="348">
        <v>0</v>
      </c>
      <c r="AO79" s="348">
        <v>0</v>
      </c>
      <c r="AP79" s="348">
        <v>0</v>
      </c>
      <c r="AQ79" s="348">
        <v>0</v>
      </c>
      <c r="AR79" s="348">
        <v>0</v>
      </c>
      <c r="AS79" s="348">
        <v>0</v>
      </c>
      <c r="AT79" s="348">
        <v>0</v>
      </c>
      <c r="AU79" s="348">
        <v>0</v>
      </c>
      <c r="AV79" s="348">
        <v>0</v>
      </c>
      <c r="AW79" s="348">
        <v>0</v>
      </c>
      <c r="AX79" s="348">
        <v>0</v>
      </c>
      <c r="AY79" s="348">
        <v>0</v>
      </c>
      <c r="AZ79" s="348">
        <v>0</v>
      </c>
      <c r="BA79" s="348">
        <v>0</v>
      </c>
      <c r="BB79" s="348">
        <v>0</v>
      </c>
      <c r="BC79" s="348">
        <v>0</v>
      </c>
      <c r="BD79" s="348">
        <v>0</v>
      </c>
      <c r="BE79" s="348">
        <v>0</v>
      </c>
      <c r="BF79" s="348">
        <v>0</v>
      </c>
      <c r="BG79" s="347">
        <f t="shared" si="33"/>
        <v>253348751.16142857</v>
      </c>
      <c r="BH79" s="347">
        <f t="shared" si="33"/>
        <v>253026320.71857142</v>
      </c>
      <c r="BI79" s="347">
        <f t="shared" si="33"/>
        <v>251876177.28999999</v>
      </c>
      <c r="BJ79" s="347">
        <f t="shared" si="33"/>
        <v>221334668.43285716</v>
      </c>
      <c r="BK79" s="287"/>
    </row>
    <row r="80" spans="1:64" ht="45.75" customHeight="1" x14ac:dyDescent="0.2">
      <c r="A80" s="297" t="s">
        <v>2057</v>
      </c>
      <c r="B80" s="346"/>
      <c r="C80" s="347">
        <f t="shared" si="37"/>
        <v>246205894.01857144</v>
      </c>
      <c r="D80" s="347">
        <f t="shared" si="38"/>
        <v>245896761.71857142</v>
      </c>
      <c r="E80" s="347">
        <f t="shared" si="39"/>
        <v>245039618.86142856</v>
      </c>
      <c r="F80" s="347">
        <f t="shared" si="40"/>
        <v>214498110.00428572</v>
      </c>
      <c r="G80" s="348">
        <v>0</v>
      </c>
      <c r="H80" s="348">
        <v>0</v>
      </c>
      <c r="I80" s="348">
        <v>0</v>
      </c>
      <c r="J80" s="348">
        <v>0</v>
      </c>
      <c r="K80" s="348">
        <v>0</v>
      </c>
      <c r="L80" s="348">
        <v>0</v>
      </c>
      <c r="M80" s="348">
        <v>0</v>
      </c>
      <c r="N80" s="348">
        <v>0</v>
      </c>
      <c r="O80" s="348">
        <v>0</v>
      </c>
      <c r="P80" s="348">
        <v>0</v>
      </c>
      <c r="Q80" s="348">
        <v>0</v>
      </c>
      <c r="R80" s="348">
        <v>0</v>
      </c>
      <c r="S80" s="348">
        <v>0</v>
      </c>
      <c r="T80" s="348">
        <v>0</v>
      </c>
      <c r="U80" s="348">
        <v>0</v>
      </c>
      <c r="V80" s="348">
        <v>0</v>
      </c>
      <c r="W80" s="348">
        <v>0</v>
      </c>
      <c r="X80" s="348">
        <v>0</v>
      </c>
      <c r="Y80" s="348">
        <v>0</v>
      </c>
      <c r="Z80" s="348">
        <v>0</v>
      </c>
      <c r="AA80" s="348">
        <v>0</v>
      </c>
      <c r="AB80" s="348">
        <v>0</v>
      </c>
      <c r="AC80" s="348">
        <v>0</v>
      </c>
      <c r="AD80" s="348">
        <v>0</v>
      </c>
      <c r="AE80" s="347">
        <f t="shared" si="41"/>
        <v>7142857.1428571427</v>
      </c>
      <c r="AF80" s="347">
        <f t="shared" si="42"/>
        <v>7129559</v>
      </c>
      <c r="AG80" s="347">
        <f t="shared" si="43"/>
        <v>6836558.4285714282</v>
      </c>
      <c r="AH80" s="347">
        <f t="shared" si="43"/>
        <v>6836558.4285714282</v>
      </c>
      <c r="AI80" s="348">
        <v>0</v>
      </c>
      <c r="AJ80" s="348">
        <v>0</v>
      </c>
      <c r="AK80" s="348">
        <v>0</v>
      </c>
      <c r="AL80" s="348">
        <v>0</v>
      </c>
      <c r="AM80" s="348">
        <v>0</v>
      </c>
      <c r="AN80" s="348">
        <v>0</v>
      </c>
      <c r="AO80" s="348">
        <v>0</v>
      </c>
      <c r="AP80" s="348">
        <v>0</v>
      </c>
      <c r="AQ80" s="348">
        <v>0</v>
      </c>
      <c r="AR80" s="348">
        <v>0</v>
      </c>
      <c r="AS80" s="348">
        <v>0</v>
      </c>
      <c r="AT80" s="348">
        <v>0</v>
      </c>
      <c r="AU80" s="348">
        <v>0</v>
      </c>
      <c r="AV80" s="348">
        <v>0</v>
      </c>
      <c r="AW80" s="348">
        <v>0</v>
      </c>
      <c r="AX80" s="348">
        <v>0</v>
      </c>
      <c r="AY80" s="348">
        <v>0</v>
      </c>
      <c r="AZ80" s="348">
        <v>0</v>
      </c>
      <c r="BA80" s="348">
        <v>0</v>
      </c>
      <c r="BB80" s="348">
        <v>0</v>
      </c>
      <c r="BC80" s="348">
        <v>0</v>
      </c>
      <c r="BD80" s="348">
        <v>0</v>
      </c>
      <c r="BE80" s="348">
        <v>0</v>
      </c>
      <c r="BF80" s="348">
        <v>0</v>
      </c>
      <c r="BG80" s="347">
        <f t="shared" si="33"/>
        <v>253348751.16142857</v>
      </c>
      <c r="BH80" s="347">
        <f t="shared" si="33"/>
        <v>253026320.71857142</v>
      </c>
      <c r="BI80" s="347">
        <f t="shared" si="33"/>
        <v>251876177.28999999</v>
      </c>
      <c r="BJ80" s="347">
        <f t="shared" si="33"/>
        <v>221334668.43285716</v>
      </c>
      <c r="BK80" s="287"/>
    </row>
    <row r="81" spans="1:64" ht="45.75" customHeight="1" x14ac:dyDescent="0.2">
      <c r="A81" s="297" t="s">
        <v>2058</v>
      </c>
      <c r="B81" s="346"/>
      <c r="C81" s="347">
        <f t="shared" si="37"/>
        <v>246205894.01857144</v>
      </c>
      <c r="D81" s="347">
        <f t="shared" si="38"/>
        <v>245896761.71857142</v>
      </c>
      <c r="E81" s="347">
        <f t="shared" si="39"/>
        <v>245039618.86142856</v>
      </c>
      <c r="F81" s="347">
        <f t="shared" si="40"/>
        <v>214498110.00428572</v>
      </c>
      <c r="G81" s="348">
        <v>0</v>
      </c>
      <c r="H81" s="348">
        <v>0</v>
      </c>
      <c r="I81" s="348">
        <v>0</v>
      </c>
      <c r="J81" s="348">
        <v>0</v>
      </c>
      <c r="K81" s="348">
        <v>0</v>
      </c>
      <c r="L81" s="348">
        <v>0</v>
      </c>
      <c r="M81" s="348">
        <v>0</v>
      </c>
      <c r="N81" s="348">
        <v>0</v>
      </c>
      <c r="O81" s="348">
        <v>0</v>
      </c>
      <c r="P81" s="348">
        <v>0</v>
      </c>
      <c r="Q81" s="348">
        <v>0</v>
      </c>
      <c r="R81" s="348">
        <v>0</v>
      </c>
      <c r="S81" s="348">
        <v>0</v>
      </c>
      <c r="T81" s="348">
        <v>0</v>
      </c>
      <c r="U81" s="348">
        <v>0</v>
      </c>
      <c r="V81" s="348">
        <v>0</v>
      </c>
      <c r="W81" s="348">
        <v>0</v>
      </c>
      <c r="X81" s="348">
        <v>0</v>
      </c>
      <c r="Y81" s="348">
        <v>0</v>
      </c>
      <c r="Z81" s="348">
        <v>0</v>
      </c>
      <c r="AA81" s="348">
        <v>0</v>
      </c>
      <c r="AB81" s="348">
        <v>0</v>
      </c>
      <c r="AC81" s="348">
        <v>0</v>
      </c>
      <c r="AD81" s="348">
        <v>0</v>
      </c>
      <c r="AE81" s="347">
        <f t="shared" si="41"/>
        <v>7142857.1428571427</v>
      </c>
      <c r="AF81" s="347">
        <f t="shared" si="42"/>
        <v>7129559</v>
      </c>
      <c r="AG81" s="347">
        <f t="shared" si="43"/>
        <v>6836558.4285714282</v>
      </c>
      <c r="AH81" s="347">
        <f t="shared" si="43"/>
        <v>6836558.4285714282</v>
      </c>
      <c r="AI81" s="348">
        <v>0</v>
      </c>
      <c r="AJ81" s="348">
        <v>0</v>
      </c>
      <c r="AK81" s="348">
        <v>0</v>
      </c>
      <c r="AL81" s="348">
        <v>0</v>
      </c>
      <c r="AM81" s="348">
        <v>0</v>
      </c>
      <c r="AN81" s="348">
        <v>0</v>
      </c>
      <c r="AO81" s="348">
        <v>0</v>
      </c>
      <c r="AP81" s="348">
        <v>0</v>
      </c>
      <c r="AQ81" s="348">
        <v>0</v>
      </c>
      <c r="AR81" s="348">
        <v>0</v>
      </c>
      <c r="AS81" s="348">
        <v>0</v>
      </c>
      <c r="AT81" s="348">
        <v>0</v>
      </c>
      <c r="AU81" s="348">
        <v>0</v>
      </c>
      <c r="AV81" s="348">
        <v>0</v>
      </c>
      <c r="AW81" s="348">
        <v>0</v>
      </c>
      <c r="AX81" s="348">
        <v>0</v>
      </c>
      <c r="AY81" s="348">
        <v>0</v>
      </c>
      <c r="AZ81" s="348">
        <v>0</v>
      </c>
      <c r="BA81" s="348">
        <v>0</v>
      </c>
      <c r="BB81" s="348">
        <v>0</v>
      </c>
      <c r="BC81" s="348">
        <v>0</v>
      </c>
      <c r="BD81" s="348">
        <v>0</v>
      </c>
      <c r="BE81" s="348">
        <v>0</v>
      </c>
      <c r="BF81" s="348">
        <v>0</v>
      </c>
      <c r="BG81" s="347">
        <f t="shared" si="33"/>
        <v>253348751.16142857</v>
      </c>
      <c r="BH81" s="347">
        <f t="shared" si="33"/>
        <v>253026320.71857142</v>
      </c>
      <c r="BI81" s="347">
        <f t="shared" si="33"/>
        <v>251876177.28999999</v>
      </c>
      <c r="BJ81" s="347">
        <f t="shared" si="33"/>
        <v>221334668.43285716</v>
      </c>
      <c r="BK81" s="287"/>
    </row>
    <row r="82" spans="1:64" ht="45.75" customHeight="1" x14ac:dyDescent="0.2">
      <c r="A82" s="297" t="s">
        <v>2059</v>
      </c>
      <c r="B82" s="349"/>
      <c r="C82" s="347">
        <f t="shared" si="37"/>
        <v>246205894.01857144</v>
      </c>
      <c r="D82" s="347">
        <f t="shared" si="38"/>
        <v>245896761.71857142</v>
      </c>
      <c r="E82" s="347">
        <f t="shared" si="39"/>
        <v>245039618.86142856</v>
      </c>
      <c r="F82" s="347">
        <f t="shared" si="40"/>
        <v>214498110.00428572</v>
      </c>
      <c r="G82" s="348">
        <v>0</v>
      </c>
      <c r="H82" s="348">
        <v>0</v>
      </c>
      <c r="I82" s="348">
        <v>0</v>
      </c>
      <c r="J82" s="348">
        <v>0</v>
      </c>
      <c r="K82" s="348">
        <v>0</v>
      </c>
      <c r="L82" s="348">
        <v>0</v>
      </c>
      <c r="M82" s="348">
        <v>0</v>
      </c>
      <c r="N82" s="348">
        <v>0</v>
      </c>
      <c r="O82" s="348">
        <v>0</v>
      </c>
      <c r="P82" s="348">
        <v>0</v>
      </c>
      <c r="Q82" s="348">
        <v>0</v>
      </c>
      <c r="R82" s="348">
        <v>0</v>
      </c>
      <c r="S82" s="348">
        <v>0</v>
      </c>
      <c r="T82" s="348">
        <v>0</v>
      </c>
      <c r="U82" s="348">
        <v>0</v>
      </c>
      <c r="V82" s="348">
        <v>0</v>
      </c>
      <c r="W82" s="348">
        <v>0</v>
      </c>
      <c r="X82" s="348">
        <v>0</v>
      </c>
      <c r="Y82" s="348">
        <v>0</v>
      </c>
      <c r="Z82" s="348">
        <v>0</v>
      </c>
      <c r="AA82" s="348">
        <v>0</v>
      </c>
      <c r="AB82" s="348">
        <v>0</v>
      </c>
      <c r="AC82" s="348">
        <v>0</v>
      </c>
      <c r="AD82" s="348">
        <v>0</v>
      </c>
      <c r="AE82" s="347">
        <f t="shared" si="41"/>
        <v>7142857.1428571427</v>
      </c>
      <c r="AF82" s="347">
        <f t="shared" si="42"/>
        <v>7129559</v>
      </c>
      <c r="AG82" s="347">
        <f t="shared" si="43"/>
        <v>6836558.4285714282</v>
      </c>
      <c r="AH82" s="347">
        <f t="shared" si="43"/>
        <v>6836558.4285714282</v>
      </c>
      <c r="AI82" s="348">
        <v>0</v>
      </c>
      <c r="AJ82" s="348">
        <v>0</v>
      </c>
      <c r="AK82" s="348">
        <v>0</v>
      </c>
      <c r="AL82" s="348">
        <v>0</v>
      </c>
      <c r="AM82" s="348">
        <v>0</v>
      </c>
      <c r="AN82" s="348">
        <v>0</v>
      </c>
      <c r="AO82" s="348">
        <v>0</v>
      </c>
      <c r="AP82" s="348">
        <v>0</v>
      </c>
      <c r="AQ82" s="348">
        <v>0</v>
      </c>
      <c r="AR82" s="348">
        <v>0</v>
      </c>
      <c r="AS82" s="348">
        <v>0</v>
      </c>
      <c r="AT82" s="348">
        <v>0</v>
      </c>
      <c r="AU82" s="348">
        <v>0</v>
      </c>
      <c r="AV82" s="348">
        <v>0</v>
      </c>
      <c r="AW82" s="348">
        <v>0</v>
      </c>
      <c r="AX82" s="348">
        <v>0</v>
      </c>
      <c r="AY82" s="348">
        <v>0</v>
      </c>
      <c r="AZ82" s="348">
        <v>0</v>
      </c>
      <c r="BA82" s="348">
        <v>0</v>
      </c>
      <c r="BB82" s="348">
        <v>0</v>
      </c>
      <c r="BC82" s="348">
        <v>0</v>
      </c>
      <c r="BD82" s="348">
        <v>0</v>
      </c>
      <c r="BE82" s="348">
        <v>0</v>
      </c>
      <c r="BF82" s="348">
        <v>0</v>
      </c>
      <c r="BG82" s="347">
        <f t="shared" si="33"/>
        <v>253348751.16142857</v>
      </c>
      <c r="BH82" s="347">
        <f t="shared" si="33"/>
        <v>253026320.71857142</v>
      </c>
      <c r="BI82" s="347">
        <f t="shared" si="33"/>
        <v>251876177.28999999</v>
      </c>
      <c r="BJ82" s="347">
        <f t="shared" si="33"/>
        <v>221334668.43285716</v>
      </c>
      <c r="BK82" s="302">
        <f>+SUM(BG76:BG82)-B76</f>
        <v>0</v>
      </c>
    </row>
    <row r="83" spans="1:64" ht="45.75" customHeight="1" x14ac:dyDescent="0.2">
      <c r="A83" s="303" t="s">
        <v>2060</v>
      </c>
      <c r="B83" s="343">
        <f>SUM(B84:B93)</f>
        <v>3366068995.3000002</v>
      </c>
      <c r="C83" s="343">
        <f t="shared" ref="C83:BF83" si="44">SUM(C84:C93)</f>
        <v>2405367829.4000001</v>
      </c>
      <c r="D83" s="343">
        <f t="shared" si="44"/>
        <v>2238460721.7399998</v>
      </c>
      <c r="E83" s="343">
        <f t="shared" si="44"/>
        <v>2081508174.1500001</v>
      </c>
      <c r="F83" s="343">
        <f t="shared" si="44"/>
        <v>961584500.33000004</v>
      </c>
      <c r="G83" s="343">
        <f t="shared" si="44"/>
        <v>0</v>
      </c>
      <c r="H83" s="343">
        <f t="shared" si="44"/>
        <v>0</v>
      </c>
      <c r="I83" s="343">
        <f t="shared" si="44"/>
        <v>0</v>
      </c>
      <c r="J83" s="343">
        <f t="shared" si="44"/>
        <v>0</v>
      </c>
      <c r="K83" s="343">
        <f t="shared" si="44"/>
        <v>0</v>
      </c>
      <c r="L83" s="343">
        <f t="shared" si="44"/>
        <v>0</v>
      </c>
      <c r="M83" s="343">
        <f t="shared" si="44"/>
        <v>0</v>
      </c>
      <c r="N83" s="343">
        <f t="shared" si="44"/>
        <v>0</v>
      </c>
      <c r="O83" s="343">
        <f t="shared" si="44"/>
        <v>960701165.9000001</v>
      </c>
      <c r="P83" s="343">
        <f t="shared" si="44"/>
        <v>960701165.9000001</v>
      </c>
      <c r="Q83" s="343">
        <f t="shared" si="44"/>
        <v>110701165.90000001</v>
      </c>
      <c r="R83" s="343">
        <f t="shared" si="44"/>
        <v>110701165.90000001</v>
      </c>
      <c r="S83" s="343">
        <f t="shared" si="44"/>
        <v>0</v>
      </c>
      <c r="T83" s="343">
        <f t="shared" si="44"/>
        <v>0</v>
      </c>
      <c r="U83" s="343">
        <f t="shared" si="44"/>
        <v>0</v>
      </c>
      <c r="V83" s="343">
        <f t="shared" si="44"/>
        <v>0</v>
      </c>
      <c r="W83" s="343">
        <f t="shared" si="44"/>
        <v>0</v>
      </c>
      <c r="X83" s="343">
        <f t="shared" si="44"/>
        <v>0</v>
      </c>
      <c r="Y83" s="343">
        <f t="shared" si="44"/>
        <v>0</v>
      </c>
      <c r="Z83" s="343">
        <f t="shared" si="44"/>
        <v>0</v>
      </c>
      <c r="AA83" s="343">
        <f t="shared" si="44"/>
        <v>0</v>
      </c>
      <c r="AB83" s="343">
        <f t="shared" si="44"/>
        <v>0</v>
      </c>
      <c r="AC83" s="343">
        <f t="shared" si="44"/>
        <v>0</v>
      </c>
      <c r="AD83" s="343">
        <f t="shared" si="44"/>
        <v>0</v>
      </c>
      <c r="AE83" s="343">
        <f t="shared" si="44"/>
        <v>0</v>
      </c>
      <c r="AF83" s="343">
        <f t="shared" si="44"/>
        <v>0</v>
      </c>
      <c r="AG83" s="343">
        <f t="shared" si="44"/>
        <v>0</v>
      </c>
      <c r="AH83" s="343">
        <f t="shared" si="44"/>
        <v>0</v>
      </c>
      <c r="AI83" s="343">
        <f t="shared" si="44"/>
        <v>0</v>
      </c>
      <c r="AJ83" s="343">
        <f t="shared" si="44"/>
        <v>0</v>
      </c>
      <c r="AK83" s="343">
        <f t="shared" si="44"/>
        <v>0</v>
      </c>
      <c r="AL83" s="343">
        <f t="shared" si="44"/>
        <v>0</v>
      </c>
      <c r="AM83" s="343">
        <f t="shared" si="44"/>
        <v>0</v>
      </c>
      <c r="AN83" s="343">
        <f t="shared" si="44"/>
        <v>0</v>
      </c>
      <c r="AO83" s="343">
        <f t="shared" si="44"/>
        <v>0</v>
      </c>
      <c r="AP83" s="343">
        <f t="shared" si="44"/>
        <v>0</v>
      </c>
      <c r="AQ83" s="343">
        <f t="shared" si="44"/>
        <v>0</v>
      </c>
      <c r="AR83" s="343">
        <f t="shared" si="44"/>
        <v>0</v>
      </c>
      <c r="AS83" s="343">
        <f t="shared" si="44"/>
        <v>0</v>
      </c>
      <c r="AT83" s="343">
        <f t="shared" si="44"/>
        <v>0</v>
      </c>
      <c r="AU83" s="343">
        <f t="shared" si="44"/>
        <v>0</v>
      </c>
      <c r="AV83" s="343">
        <f t="shared" si="44"/>
        <v>0</v>
      </c>
      <c r="AW83" s="343">
        <f t="shared" si="44"/>
        <v>0</v>
      </c>
      <c r="AX83" s="343">
        <f t="shared" si="44"/>
        <v>0</v>
      </c>
      <c r="AY83" s="343">
        <f t="shared" si="44"/>
        <v>0</v>
      </c>
      <c r="AZ83" s="343">
        <f t="shared" si="44"/>
        <v>0</v>
      </c>
      <c r="BA83" s="343">
        <f t="shared" si="44"/>
        <v>0</v>
      </c>
      <c r="BB83" s="343">
        <f t="shared" si="44"/>
        <v>0</v>
      </c>
      <c r="BC83" s="343">
        <f t="shared" si="44"/>
        <v>0</v>
      </c>
      <c r="BD83" s="343">
        <f t="shared" si="44"/>
        <v>0</v>
      </c>
      <c r="BE83" s="343">
        <f t="shared" si="44"/>
        <v>0</v>
      </c>
      <c r="BF83" s="343">
        <f t="shared" si="44"/>
        <v>0</v>
      </c>
      <c r="BG83" s="343">
        <f t="shared" si="33"/>
        <v>3366068995.3000002</v>
      </c>
      <c r="BH83" s="343">
        <f t="shared" si="33"/>
        <v>3199161887.6399999</v>
      </c>
      <c r="BI83" s="343">
        <f t="shared" si="33"/>
        <v>2192209340.0500002</v>
      </c>
      <c r="BJ83" s="343">
        <f t="shared" si="33"/>
        <v>1072285666.23</v>
      </c>
      <c r="BK83" s="291">
        <f>+SUM(BG84:BG93)-BG83</f>
        <v>0</v>
      </c>
      <c r="BL83" s="292">
        <f>+BG83-B83</f>
        <v>0</v>
      </c>
    </row>
    <row r="84" spans="1:64" ht="45.75" customHeight="1" x14ac:dyDescent="0.2">
      <c r="A84" s="293" t="s">
        <v>2061</v>
      </c>
      <c r="B84" s="344">
        <v>3366068995.3000002</v>
      </c>
      <c r="C84" s="345">
        <v>0</v>
      </c>
      <c r="D84" s="345">
        <v>0</v>
      </c>
      <c r="E84" s="345">
        <v>0</v>
      </c>
      <c r="F84" s="345">
        <v>0</v>
      </c>
      <c r="G84" s="345">
        <v>0</v>
      </c>
      <c r="H84" s="345">
        <v>0</v>
      </c>
      <c r="I84" s="345">
        <v>0</v>
      </c>
      <c r="J84" s="345">
        <v>0</v>
      </c>
      <c r="K84" s="345">
        <v>0</v>
      </c>
      <c r="L84" s="345">
        <v>0</v>
      </c>
      <c r="M84" s="345">
        <v>0</v>
      </c>
      <c r="N84" s="345">
        <v>0</v>
      </c>
      <c r="O84" s="345">
        <v>0</v>
      </c>
      <c r="P84" s="345">
        <v>0</v>
      </c>
      <c r="Q84" s="345">
        <v>0</v>
      </c>
      <c r="R84" s="345">
        <v>0</v>
      </c>
      <c r="S84" s="345">
        <v>0</v>
      </c>
      <c r="T84" s="345">
        <v>0</v>
      </c>
      <c r="U84" s="345">
        <v>0</v>
      </c>
      <c r="V84" s="345">
        <v>0</v>
      </c>
      <c r="W84" s="345">
        <v>0</v>
      </c>
      <c r="X84" s="345">
        <v>0</v>
      </c>
      <c r="Y84" s="345">
        <v>0</v>
      </c>
      <c r="Z84" s="345">
        <v>0</v>
      </c>
      <c r="AA84" s="345">
        <v>0</v>
      </c>
      <c r="AB84" s="345">
        <v>0</v>
      </c>
      <c r="AC84" s="345">
        <v>0</v>
      </c>
      <c r="AD84" s="345">
        <v>0</v>
      </c>
      <c r="AE84" s="345">
        <v>0</v>
      </c>
      <c r="AF84" s="345">
        <v>0</v>
      </c>
      <c r="AG84" s="345">
        <v>0</v>
      </c>
      <c r="AH84" s="345">
        <v>0</v>
      </c>
      <c r="AI84" s="345">
        <v>0</v>
      </c>
      <c r="AJ84" s="345">
        <v>0</v>
      </c>
      <c r="AK84" s="345">
        <v>0</v>
      </c>
      <c r="AL84" s="345">
        <v>0</v>
      </c>
      <c r="AM84" s="345">
        <v>0</v>
      </c>
      <c r="AN84" s="345">
        <v>0</v>
      </c>
      <c r="AO84" s="345">
        <v>0</v>
      </c>
      <c r="AP84" s="345">
        <v>0</v>
      </c>
      <c r="AQ84" s="345">
        <v>0</v>
      </c>
      <c r="AR84" s="345">
        <v>0</v>
      </c>
      <c r="AS84" s="345">
        <v>0</v>
      </c>
      <c r="AT84" s="345">
        <v>0</v>
      </c>
      <c r="AU84" s="345">
        <v>0</v>
      </c>
      <c r="AV84" s="345">
        <v>0</v>
      </c>
      <c r="AW84" s="345">
        <v>0</v>
      </c>
      <c r="AX84" s="345">
        <v>0</v>
      </c>
      <c r="AY84" s="345">
        <v>0</v>
      </c>
      <c r="AZ84" s="345">
        <v>0</v>
      </c>
      <c r="BA84" s="345">
        <v>0</v>
      </c>
      <c r="BB84" s="345">
        <v>0</v>
      </c>
      <c r="BC84" s="345">
        <v>0</v>
      </c>
      <c r="BD84" s="345">
        <v>0</v>
      </c>
      <c r="BE84" s="345">
        <v>0</v>
      </c>
      <c r="BF84" s="345">
        <v>0</v>
      </c>
      <c r="BG84" s="345">
        <f t="shared" si="33"/>
        <v>0</v>
      </c>
      <c r="BH84" s="345">
        <f t="shared" si="33"/>
        <v>0</v>
      </c>
      <c r="BI84" s="345">
        <f t="shared" si="33"/>
        <v>0</v>
      </c>
      <c r="BJ84" s="345">
        <f t="shared" si="33"/>
        <v>0</v>
      </c>
      <c r="BK84" s="287"/>
    </row>
    <row r="85" spans="1:64" ht="45.75" customHeight="1" x14ac:dyDescent="0.2">
      <c r="A85" s="293" t="s">
        <v>2062</v>
      </c>
      <c r="B85" s="346"/>
      <c r="C85" s="345">
        <v>0</v>
      </c>
      <c r="D85" s="345">
        <v>0</v>
      </c>
      <c r="E85" s="345">
        <v>0</v>
      </c>
      <c r="F85" s="345">
        <v>0</v>
      </c>
      <c r="G85" s="345">
        <v>0</v>
      </c>
      <c r="H85" s="345">
        <v>0</v>
      </c>
      <c r="I85" s="345">
        <v>0</v>
      </c>
      <c r="J85" s="345">
        <v>0</v>
      </c>
      <c r="K85" s="345">
        <v>0</v>
      </c>
      <c r="L85" s="345">
        <v>0</v>
      </c>
      <c r="M85" s="345">
        <v>0</v>
      </c>
      <c r="N85" s="345">
        <v>0</v>
      </c>
      <c r="O85" s="345">
        <v>0</v>
      </c>
      <c r="P85" s="345">
        <v>0</v>
      </c>
      <c r="Q85" s="345">
        <v>0</v>
      </c>
      <c r="R85" s="345">
        <v>0</v>
      </c>
      <c r="S85" s="345">
        <v>0</v>
      </c>
      <c r="T85" s="345">
        <v>0</v>
      </c>
      <c r="U85" s="345">
        <v>0</v>
      </c>
      <c r="V85" s="345">
        <v>0</v>
      </c>
      <c r="W85" s="345">
        <v>0</v>
      </c>
      <c r="X85" s="345">
        <v>0</v>
      </c>
      <c r="Y85" s="345">
        <v>0</v>
      </c>
      <c r="Z85" s="345">
        <v>0</v>
      </c>
      <c r="AA85" s="345">
        <v>0</v>
      </c>
      <c r="AB85" s="345">
        <v>0</v>
      </c>
      <c r="AC85" s="345">
        <v>0</v>
      </c>
      <c r="AD85" s="345">
        <v>0</v>
      </c>
      <c r="AE85" s="345">
        <v>0</v>
      </c>
      <c r="AF85" s="345">
        <v>0</v>
      </c>
      <c r="AG85" s="345">
        <v>0</v>
      </c>
      <c r="AH85" s="345">
        <v>0</v>
      </c>
      <c r="AI85" s="345">
        <v>0</v>
      </c>
      <c r="AJ85" s="345">
        <v>0</v>
      </c>
      <c r="AK85" s="345">
        <v>0</v>
      </c>
      <c r="AL85" s="345">
        <v>0</v>
      </c>
      <c r="AM85" s="345">
        <v>0</v>
      </c>
      <c r="AN85" s="345">
        <v>0</v>
      </c>
      <c r="AO85" s="345">
        <v>0</v>
      </c>
      <c r="AP85" s="345">
        <v>0</v>
      </c>
      <c r="AQ85" s="345">
        <v>0</v>
      </c>
      <c r="AR85" s="345">
        <v>0</v>
      </c>
      <c r="AS85" s="345">
        <v>0</v>
      </c>
      <c r="AT85" s="345">
        <v>0</v>
      </c>
      <c r="AU85" s="345">
        <v>0</v>
      </c>
      <c r="AV85" s="345">
        <v>0</v>
      </c>
      <c r="AW85" s="345">
        <v>0</v>
      </c>
      <c r="AX85" s="345">
        <v>0</v>
      </c>
      <c r="AY85" s="345">
        <v>0</v>
      </c>
      <c r="AZ85" s="345">
        <v>0</v>
      </c>
      <c r="BA85" s="345">
        <v>0</v>
      </c>
      <c r="BB85" s="345">
        <v>0</v>
      </c>
      <c r="BC85" s="345">
        <v>0</v>
      </c>
      <c r="BD85" s="345">
        <v>0</v>
      </c>
      <c r="BE85" s="345">
        <v>0</v>
      </c>
      <c r="BF85" s="345">
        <v>0</v>
      </c>
      <c r="BG85" s="345">
        <f t="shared" si="33"/>
        <v>0</v>
      </c>
      <c r="BH85" s="345">
        <f t="shared" si="33"/>
        <v>0</v>
      </c>
      <c r="BI85" s="345">
        <f t="shared" si="33"/>
        <v>0</v>
      </c>
      <c r="BJ85" s="345">
        <f t="shared" si="33"/>
        <v>0</v>
      </c>
      <c r="BK85" s="287"/>
    </row>
    <row r="86" spans="1:64" ht="45.75" customHeight="1" x14ac:dyDescent="0.2">
      <c r="A86" s="293" t="s">
        <v>2063</v>
      </c>
      <c r="B86" s="346"/>
      <c r="C86" s="345">
        <v>0</v>
      </c>
      <c r="D86" s="345">
        <v>0</v>
      </c>
      <c r="E86" s="345">
        <v>0</v>
      </c>
      <c r="F86" s="345">
        <v>0</v>
      </c>
      <c r="G86" s="345">
        <v>0</v>
      </c>
      <c r="H86" s="345">
        <v>0</v>
      </c>
      <c r="I86" s="345">
        <v>0</v>
      </c>
      <c r="J86" s="345">
        <v>0</v>
      </c>
      <c r="K86" s="345">
        <v>0</v>
      </c>
      <c r="L86" s="345">
        <v>0</v>
      </c>
      <c r="M86" s="345">
        <v>0</v>
      </c>
      <c r="N86" s="345">
        <v>0</v>
      </c>
      <c r="O86" s="345">
        <v>0</v>
      </c>
      <c r="P86" s="345">
        <v>0</v>
      </c>
      <c r="Q86" s="345">
        <v>0</v>
      </c>
      <c r="R86" s="345">
        <v>0</v>
      </c>
      <c r="S86" s="345">
        <v>0</v>
      </c>
      <c r="T86" s="345">
        <v>0</v>
      </c>
      <c r="U86" s="345">
        <v>0</v>
      </c>
      <c r="V86" s="345">
        <v>0</v>
      </c>
      <c r="W86" s="345">
        <v>0</v>
      </c>
      <c r="X86" s="345">
        <v>0</v>
      </c>
      <c r="Y86" s="345">
        <v>0</v>
      </c>
      <c r="Z86" s="345">
        <v>0</v>
      </c>
      <c r="AA86" s="345">
        <v>0</v>
      </c>
      <c r="AB86" s="345">
        <v>0</v>
      </c>
      <c r="AC86" s="345">
        <v>0</v>
      </c>
      <c r="AD86" s="345">
        <v>0</v>
      </c>
      <c r="AE86" s="345">
        <v>0</v>
      </c>
      <c r="AF86" s="345">
        <v>0</v>
      </c>
      <c r="AG86" s="345">
        <v>0</v>
      </c>
      <c r="AH86" s="345">
        <v>0</v>
      </c>
      <c r="AI86" s="345">
        <v>0</v>
      </c>
      <c r="AJ86" s="345">
        <v>0</v>
      </c>
      <c r="AK86" s="345">
        <v>0</v>
      </c>
      <c r="AL86" s="345">
        <v>0</v>
      </c>
      <c r="AM86" s="345">
        <v>0</v>
      </c>
      <c r="AN86" s="345">
        <v>0</v>
      </c>
      <c r="AO86" s="345">
        <v>0</v>
      </c>
      <c r="AP86" s="345">
        <v>0</v>
      </c>
      <c r="AQ86" s="345">
        <v>0</v>
      </c>
      <c r="AR86" s="345">
        <v>0</v>
      </c>
      <c r="AS86" s="345">
        <v>0</v>
      </c>
      <c r="AT86" s="345">
        <v>0</v>
      </c>
      <c r="AU86" s="345">
        <v>0</v>
      </c>
      <c r="AV86" s="345">
        <v>0</v>
      </c>
      <c r="AW86" s="345">
        <v>0</v>
      </c>
      <c r="AX86" s="345">
        <v>0</v>
      </c>
      <c r="AY86" s="345">
        <v>0</v>
      </c>
      <c r="AZ86" s="345">
        <v>0</v>
      </c>
      <c r="BA86" s="345">
        <v>0</v>
      </c>
      <c r="BB86" s="345">
        <v>0</v>
      </c>
      <c r="BC86" s="345">
        <v>0</v>
      </c>
      <c r="BD86" s="345">
        <v>0</v>
      </c>
      <c r="BE86" s="345">
        <v>0</v>
      </c>
      <c r="BF86" s="345">
        <v>0</v>
      </c>
      <c r="BG86" s="345">
        <f t="shared" si="33"/>
        <v>0</v>
      </c>
      <c r="BH86" s="345">
        <f t="shared" si="33"/>
        <v>0</v>
      </c>
      <c r="BI86" s="345">
        <f t="shared" si="33"/>
        <v>0</v>
      </c>
      <c r="BJ86" s="345">
        <f t="shared" si="33"/>
        <v>0</v>
      </c>
      <c r="BK86" s="287"/>
    </row>
    <row r="87" spans="1:64" ht="45.75" customHeight="1" x14ac:dyDescent="0.2">
      <c r="A87" s="293" t="s">
        <v>2064</v>
      </c>
      <c r="B87" s="346"/>
      <c r="C87" s="345">
        <v>0</v>
      </c>
      <c r="D87" s="345">
        <v>0</v>
      </c>
      <c r="E87" s="345">
        <v>0</v>
      </c>
      <c r="F87" s="345">
        <v>0</v>
      </c>
      <c r="G87" s="345">
        <v>0</v>
      </c>
      <c r="H87" s="345">
        <v>0</v>
      </c>
      <c r="I87" s="345">
        <v>0</v>
      </c>
      <c r="J87" s="345">
        <v>0</v>
      </c>
      <c r="K87" s="345">
        <v>0</v>
      </c>
      <c r="L87" s="345">
        <v>0</v>
      </c>
      <c r="M87" s="345">
        <v>0</v>
      </c>
      <c r="N87" s="345">
        <v>0</v>
      </c>
      <c r="O87" s="345">
        <v>0</v>
      </c>
      <c r="P87" s="345">
        <v>0</v>
      </c>
      <c r="Q87" s="345">
        <v>0</v>
      </c>
      <c r="R87" s="345">
        <v>0</v>
      </c>
      <c r="S87" s="345">
        <v>0</v>
      </c>
      <c r="T87" s="345">
        <v>0</v>
      </c>
      <c r="U87" s="345">
        <v>0</v>
      </c>
      <c r="V87" s="345">
        <v>0</v>
      </c>
      <c r="W87" s="345">
        <v>0</v>
      </c>
      <c r="X87" s="345">
        <v>0</v>
      </c>
      <c r="Y87" s="345">
        <v>0</v>
      </c>
      <c r="Z87" s="345">
        <v>0</v>
      </c>
      <c r="AA87" s="345">
        <v>0</v>
      </c>
      <c r="AB87" s="345">
        <v>0</v>
      </c>
      <c r="AC87" s="345">
        <v>0</v>
      </c>
      <c r="AD87" s="345">
        <v>0</v>
      </c>
      <c r="AE87" s="345">
        <v>0</v>
      </c>
      <c r="AF87" s="345">
        <v>0</v>
      </c>
      <c r="AG87" s="345">
        <v>0</v>
      </c>
      <c r="AH87" s="345">
        <v>0</v>
      </c>
      <c r="AI87" s="345">
        <v>0</v>
      </c>
      <c r="AJ87" s="345">
        <v>0</v>
      </c>
      <c r="AK87" s="345">
        <v>0</v>
      </c>
      <c r="AL87" s="345">
        <v>0</v>
      </c>
      <c r="AM87" s="345">
        <v>0</v>
      </c>
      <c r="AN87" s="345">
        <v>0</v>
      </c>
      <c r="AO87" s="345">
        <v>0</v>
      </c>
      <c r="AP87" s="345">
        <v>0</v>
      </c>
      <c r="AQ87" s="345">
        <v>0</v>
      </c>
      <c r="AR87" s="345">
        <v>0</v>
      </c>
      <c r="AS87" s="345">
        <v>0</v>
      </c>
      <c r="AT87" s="345">
        <v>0</v>
      </c>
      <c r="AU87" s="345">
        <v>0</v>
      </c>
      <c r="AV87" s="345">
        <v>0</v>
      </c>
      <c r="AW87" s="345">
        <v>0</v>
      </c>
      <c r="AX87" s="345">
        <v>0</v>
      </c>
      <c r="AY87" s="345">
        <v>0</v>
      </c>
      <c r="AZ87" s="345">
        <v>0</v>
      </c>
      <c r="BA87" s="345">
        <v>0</v>
      </c>
      <c r="BB87" s="345">
        <v>0</v>
      </c>
      <c r="BC87" s="345">
        <v>0</v>
      </c>
      <c r="BD87" s="345">
        <v>0</v>
      </c>
      <c r="BE87" s="345">
        <v>0</v>
      </c>
      <c r="BF87" s="345">
        <v>0</v>
      </c>
      <c r="BG87" s="345">
        <f t="shared" si="33"/>
        <v>0</v>
      </c>
      <c r="BH87" s="345">
        <f t="shared" si="33"/>
        <v>0</v>
      </c>
      <c r="BI87" s="345">
        <f t="shared" si="33"/>
        <v>0</v>
      </c>
      <c r="BJ87" s="345">
        <f t="shared" si="33"/>
        <v>0</v>
      </c>
      <c r="BK87" s="287"/>
    </row>
    <row r="88" spans="1:64" ht="45.75" customHeight="1" x14ac:dyDescent="0.2">
      <c r="A88" s="297" t="s">
        <v>2065</v>
      </c>
      <c r="B88" s="346"/>
      <c r="C88" s="347">
        <f>2405367829.4/5</f>
        <v>481073565.88</v>
      </c>
      <c r="D88" s="347">
        <f>2238460721.74/5</f>
        <v>447692144.34799993</v>
      </c>
      <c r="E88" s="347">
        <f>2081508174.15/5</f>
        <v>416301634.83000004</v>
      </c>
      <c r="F88" s="347">
        <f>961584500.33/5</f>
        <v>192316900.06600001</v>
      </c>
      <c r="G88" s="348">
        <v>0</v>
      </c>
      <c r="H88" s="348">
        <v>0</v>
      </c>
      <c r="I88" s="348">
        <v>0</v>
      </c>
      <c r="J88" s="348">
        <v>0</v>
      </c>
      <c r="K88" s="348">
        <v>0</v>
      </c>
      <c r="L88" s="348">
        <v>0</v>
      </c>
      <c r="M88" s="348">
        <v>0</v>
      </c>
      <c r="N88" s="348">
        <v>0</v>
      </c>
      <c r="O88" s="347">
        <f>960701165.9/5</f>
        <v>192140233.18000001</v>
      </c>
      <c r="P88" s="347">
        <f>960701165.9/5</f>
        <v>192140233.18000001</v>
      </c>
      <c r="Q88" s="347">
        <f>110701165.9/5</f>
        <v>22140233.18</v>
      </c>
      <c r="R88" s="347">
        <f>110701165.9/5</f>
        <v>22140233.18</v>
      </c>
      <c r="S88" s="348">
        <v>0</v>
      </c>
      <c r="T88" s="348">
        <v>0</v>
      </c>
      <c r="U88" s="348">
        <v>0</v>
      </c>
      <c r="V88" s="348">
        <v>0</v>
      </c>
      <c r="W88" s="348">
        <v>0</v>
      </c>
      <c r="X88" s="348">
        <v>0</v>
      </c>
      <c r="Y88" s="348">
        <v>0</v>
      </c>
      <c r="Z88" s="348">
        <v>0</v>
      </c>
      <c r="AA88" s="348">
        <v>0</v>
      </c>
      <c r="AB88" s="348">
        <v>0</v>
      </c>
      <c r="AC88" s="348">
        <v>0</v>
      </c>
      <c r="AD88" s="348">
        <v>0</v>
      </c>
      <c r="AE88" s="348">
        <v>0</v>
      </c>
      <c r="AF88" s="348">
        <v>0</v>
      </c>
      <c r="AG88" s="348">
        <v>0</v>
      </c>
      <c r="AH88" s="348">
        <v>0</v>
      </c>
      <c r="AI88" s="348">
        <v>0</v>
      </c>
      <c r="AJ88" s="348">
        <v>0</v>
      </c>
      <c r="AK88" s="348">
        <v>0</v>
      </c>
      <c r="AL88" s="348">
        <v>0</v>
      </c>
      <c r="AM88" s="348">
        <v>0</v>
      </c>
      <c r="AN88" s="348">
        <v>0</v>
      </c>
      <c r="AO88" s="348">
        <v>0</v>
      </c>
      <c r="AP88" s="348">
        <v>0</v>
      </c>
      <c r="AQ88" s="348">
        <v>0</v>
      </c>
      <c r="AR88" s="348">
        <v>0</v>
      </c>
      <c r="AS88" s="348">
        <v>0</v>
      </c>
      <c r="AT88" s="348">
        <v>0</v>
      </c>
      <c r="AU88" s="348">
        <v>0</v>
      </c>
      <c r="AV88" s="348">
        <v>0</v>
      </c>
      <c r="AW88" s="348">
        <v>0</v>
      </c>
      <c r="AX88" s="348">
        <v>0</v>
      </c>
      <c r="AY88" s="348">
        <v>0</v>
      </c>
      <c r="AZ88" s="348">
        <v>0</v>
      </c>
      <c r="BA88" s="348">
        <v>0</v>
      </c>
      <c r="BB88" s="348">
        <v>0</v>
      </c>
      <c r="BC88" s="348">
        <v>0</v>
      </c>
      <c r="BD88" s="348">
        <v>0</v>
      </c>
      <c r="BE88" s="348">
        <v>0</v>
      </c>
      <c r="BF88" s="348">
        <v>0</v>
      </c>
      <c r="BG88" s="347">
        <f t="shared" si="33"/>
        <v>673213799.05999994</v>
      </c>
      <c r="BH88" s="347">
        <f t="shared" si="33"/>
        <v>639832377.52799988</v>
      </c>
      <c r="BI88" s="347">
        <f t="shared" si="33"/>
        <v>438441868.01000005</v>
      </c>
      <c r="BJ88" s="347">
        <f t="shared" si="33"/>
        <v>214457133.24600002</v>
      </c>
      <c r="BK88" s="287"/>
    </row>
    <row r="89" spans="1:64" ht="45.75" customHeight="1" x14ac:dyDescent="0.2">
      <c r="A89" s="293" t="s">
        <v>2066</v>
      </c>
      <c r="B89" s="346"/>
      <c r="C89" s="345">
        <v>0</v>
      </c>
      <c r="D89" s="345">
        <v>0</v>
      </c>
      <c r="E89" s="345">
        <v>0</v>
      </c>
      <c r="F89" s="345">
        <v>0</v>
      </c>
      <c r="G89" s="345">
        <v>0</v>
      </c>
      <c r="H89" s="345">
        <v>0</v>
      </c>
      <c r="I89" s="345">
        <v>0</v>
      </c>
      <c r="J89" s="345">
        <v>0</v>
      </c>
      <c r="K89" s="345">
        <v>0</v>
      </c>
      <c r="L89" s="345">
        <v>0</v>
      </c>
      <c r="M89" s="345">
        <v>0</v>
      </c>
      <c r="N89" s="345">
        <v>0</v>
      </c>
      <c r="O89" s="345">
        <v>0</v>
      </c>
      <c r="P89" s="345">
        <v>0</v>
      </c>
      <c r="Q89" s="345">
        <v>0</v>
      </c>
      <c r="R89" s="345">
        <v>0</v>
      </c>
      <c r="S89" s="345">
        <v>0</v>
      </c>
      <c r="T89" s="345">
        <v>0</v>
      </c>
      <c r="U89" s="345">
        <v>0</v>
      </c>
      <c r="V89" s="345">
        <v>0</v>
      </c>
      <c r="W89" s="345">
        <v>0</v>
      </c>
      <c r="X89" s="345">
        <v>0</v>
      </c>
      <c r="Y89" s="345">
        <v>0</v>
      </c>
      <c r="Z89" s="345">
        <v>0</v>
      </c>
      <c r="AA89" s="345">
        <v>0</v>
      </c>
      <c r="AB89" s="345">
        <v>0</v>
      </c>
      <c r="AC89" s="345">
        <v>0</v>
      </c>
      <c r="AD89" s="345">
        <v>0</v>
      </c>
      <c r="AE89" s="345">
        <v>0</v>
      </c>
      <c r="AF89" s="345">
        <v>0</v>
      </c>
      <c r="AG89" s="345">
        <v>0</v>
      </c>
      <c r="AH89" s="345">
        <v>0</v>
      </c>
      <c r="AI89" s="345">
        <v>0</v>
      </c>
      <c r="AJ89" s="345">
        <v>0</v>
      </c>
      <c r="AK89" s="345">
        <v>0</v>
      </c>
      <c r="AL89" s="345">
        <v>0</v>
      </c>
      <c r="AM89" s="345">
        <v>0</v>
      </c>
      <c r="AN89" s="345">
        <v>0</v>
      </c>
      <c r="AO89" s="345">
        <v>0</v>
      </c>
      <c r="AP89" s="345">
        <v>0</v>
      </c>
      <c r="AQ89" s="345">
        <v>0</v>
      </c>
      <c r="AR89" s="345">
        <v>0</v>
      </c>
      <c r="AS89" s="345">
        <v>0</v>
      </c>
      <c r="AT89" s="345">
        <v>0</v>
      </c>
      <c r="AU89" s="345">
        <v>0</v>
      </c>
      <c r="AV89" s="345">
        <v>0</v>
      </c>
      <c r="AW89" s="345">
        <v>0</v>
      </c>
      <c r="AX89" s="345">
        <v>0</v>
      </c>
      <c r="AY89" s="345">
        <v>0</v>
      </c>
      <c r="AZ89" s="345">
        <v>0</v>
      </c>
      <c r="BA89" s="345">
        <v>0</v>
      </c>
      <c r="BB89" s="345">
        <v>0</v>
      </c>
      <c r="BC89" s="345">
        <v>0</v>
      </c>
      <c r="BD89" s="345">
        <v>0</v>
      </c>
      <c r="BE89" s="345">
        <v>0</v>
      </c>
      <c r="BF89" s="345">
        <v>0</v>
      </c>
      <c r="BG89" s="345">
        <f t="shared" si="33"/>
        <v>0</v>
      </c>
      <c r="BH89" s="345">
        <f t="shared" si="33"/>
        <v>0</v>
      </c>
      <c r="BI89" s="345">
        <f t="shared" si="33"/>
        <v>0</v>
      </c>
      <c r="BJ89" s="345">
        <f t="shared" si="33"/>
        <v>0</v>
      </c>
      <c r="BK89" s="287"/>
    </row>
    <row r="90" spans="1:64" ht="45.75" customHeight="1" x14ac:dyDescent="0.2">
      <c r="A90" s="297" t="s">
        <v>2067</v>
      </c>
      <c r="B90" s="346"/>
      <c r="C90" s="347">
        <f>2405367829.4/5</f>
        <v>481073565.88</v>
      </c>
      <c r="D90" s="347">
        <f>2238460721.74/5</f>
        <v>447692144.34799993</v>
      </c>
      <c r="E90" s="347">
        <f>2081508174.15/5</f>
        <v>416301634.83000004</v>
      </c>
      <c r="F90" s="347">
        <f>961584500.33/5</f>
        <v>192316900.06600001</v>
      </c>
      <c r="G90" s="348">
        <v>0</v>
      </c>
      <c r="H90" s="348">
        <v>0</v>
      </c>
      <c r="I90" s="348">
        <v>0</v>
      </c>
      <c r="J90" s="348">
        <v>0</v>
      </c>
      <c r="K90" s="348">
        <v>0</v>
      </c>
      <c r="L90" s="348">
        <v>0</v>
      </c>
      <c r="M90" s="348">
        <v>0</v>
      </c>
      <c r="N90" s="348">
        <v>0</v>
      </c>
      <c r="O90" s="347">
        <f t="shared" ref="O90:P93" si="45">960701165.9/5</f>
        <v>192140233.18000001</v>
      </c>
      <c r="P90" s="347">
        <f t="shared" si="45"/>
        <v>192140233.18000001</v>
      </c>
      <c r="Q90" s="347">
        <f t="shared" ref="Q90:R93" si="46">110701165.9/5</f>
        <v>22140233.18</v>
      </c>
      <c r="R90" s="347">
        <f t="shared" si="46"/>
        <v>22140233.18</v>
      </c>
      <c r="S90" s="348">
        <v>0</v>
      </c>
      <c r="T90" s="348">
        <v>0</v>
      </c>
      <c r="U90" s="348">
        <v>0</v>
      </c>
      <c r="V90" s="348">
        <v>0</v>
      </c>
      <c r="W90" s="348">
        <v>0</v>
      </c>
      <c r="X90" s="348">
        <v>0</v>
      </c>
      <c r="Y90" s="348">
        <v>0</v>
      </c>
      <c r="Z90" s="348">
        <v>0</v>
      </c>
      <c r="AA90" s="348">
        <v>0</v>
      </c>
      <c r="AB90" s="348">
        <v>0</v>
      </c>
      <c r="AC90" s="348">
        <v>0</v>
      </c>
      <c r="AD90" s="348">
        <v>0</v>
      </c>
      <c r="AE90" s="348">
        <v>0</v>
      </c>
      <c r="AF90" s="348">
        <v>0</v>
      </c>
      <c r="AG90" s="348">
        <v>0</v>
      </c>
      <c r="AH90" s="348">
        <v>0</v>
      </c>
      <c r="AI90" s="348">
        <v>0</v>
      </c>
      <c r="AJ90" s="348">
        <v>0</v>
      </c>
      <c r="AK90" s="348">
        <v>0</v>
      </c>
      <c r="AL90" s="348">
        <v>0</v>
      </c>
      <c r="AM90" s="348">
        <v>0</v>
      </c>
      <c r="AN90" s="348">
        <v>0</v>
      </c>
      <c r="AO90" s="348">
        <v>0</v>
      </c>
      <c r="AP90" s="348">
        <v>0</v>
      </c>
      <c r="AQ90" s="348">
        <v>0</v>
      </c>
      <c r="AR90" s="348">
        <v>0</v>
      </c>
      <c r="AS90" s="348">
        <v>0</v>
      </c>
      <c r="AT90" s="348">
        <v>0</v>
      </c>
      <c r="AU90" s="348">
        <v>0</v>
      </c>
      <c r="AV90" s="348">
        <v>0</v>
      </c>
      <c r="AW90" s="348">
        <v>0</v>
      </c>
      <c r="AX90" s="348">
        <v>0</v>
      </c>
      <c r="AY90" s="348">
        <v>0</v>
      </c>
      <c r="AZ90" s="348">
        <v>0</v>
      </c>
      <c r="BA90" s="348">
        <v>0</v>
      </c>
      <c r="BB90" s="348">
        <v>0</v>
      </c>
      <c r="BC90" s="348">
        <v>0</v>
      </c>
      <c r="BD90" s="348">
        <v>0</v>
      </c>
      <c r="BE90" s="348">
        <v>0</v>
      </c>
      <c r="BF90" s="348">
        <v>0</v>
      </c>
      <c r="BG90" s="347">
        <f t="shared" si="33"/>
        <v>673213799.05999994</v>
      </c>
      <c r="BH90" s="347">
        <f t="shared" si="33"/>
        <v>639832377.52799988</v>
      </c>
      <c r="BI90" s="347">
        <f t="shared" si="33"/>
        <v>438441868.01000005</v>
      </c>
      <c r="BJ90" s="347">
        <f t="shared" si="33"/>
        <v>214457133.24600002</v>
      </c>
      <c r="BK90" s="287"/>
    </row>
    <row r="91" spans="1:64" ht="45.75" customHeight="1" x14ac:dyDescent="0.2">
      <c r="A91" s="297" t="s">
        <v>2068</v>
      </c>
      <c r="B91" s="346"/>
      <c r="C91" s="347">
        <f>2405367829.4/5</f>
        <v>481073565.88</v>
      </c>
      <c r="D91" s="347">
        <f>2238460721.74/5</f>
        <v>447692144.34799993</v>
      </c>
      <c r="E91" s="347">
        <f>2081508174.15/5</f>
        <v>416301634.83000004</v>
      </c>
      <c r="F91" s="347">
        <f>961584500.33/5</f>
        <v>192316900.06600001</v>
      </c>
      <c r="G91" s="348">
        <v>0</v>
      </c>
      <c r="H91" s="348">
        <v>0</v>
      </c>
      <c r="I91" s="348">
        <v>0</v>
      </c>
      <c r="J91" s="348">
        <v>0</v>
      </c>
      <c r="K91" s="348">
        <v>0</v>
      </c>
      <c r="L91" s="348">
        <v>0</v>
      </c>
      <c r="M91" s="348">
        <v>0</v>
      </c>
      <c r="N91" s="348">
        <v>0</v>
      </c>
      <c r="O91" s="347">
        <f t="shared" si="45"/>
        <v>192140233.18000001</v>
      </c>
      <c r="P91" s="347">
        <f t="shared" si="45"/>
        <v>192140233.18000001</v>
      </c>
      <c r="Q91" s="347">
        <f t="shared" si="46"/>
        <v>22140233.18</v>
      </c>
      <c r="R91" s="347">
        <f t="shared" si="46"/>
        <v>22140233.18</v>
      </c>
      <c r="S91" s="348">
        <v>0</v>
      </c>
      <c r="T91" s="348">
        <v>0</v>
      </c>
      <c r="U91" s="348">
        <v>0</v>
      </c>
      <c r="V91" s="348">
        <v>0</v>
      </c>
      <c r="W91" s="348">
        <v>0</v>
      </c>
      <c r="X91" s="348">
        <v>0</v>
      </c>
      <c r="Y91" s="348">
        <v>0</v>
      </c>
      <c r="Z91" s="348">
        <v>0</v>
      </c>
      <c r="AA91" s="348">
        <v>0</v>
      </c>
      <c r="AB91" s="348">
        <v>0</v>
      </c>
      <c r="AC91" s="348">
        <v>0</v>
      </c>
      <c r="AD91" s="348">
        <v>0</v>
      </c>
      <c r="AE91" s="348">
        <v>0</v>
      </c>
      <c r="AF91" s="348">
        <v>0</v>
      </c>
      <c r="AG91" s="348">
        <v>0</v>
      </c>
      <c r="AH91" s="348">
        <v>0</v>
      </c>
      <c r="AI91" s="348">
        <v>0</v>
      </c>
      <c r="AJ91" s="348">
        <v>0</v>
      </c>
      <c r="AK91" s="348">
        <v>0</v>
      </c>
      <c r="AL91" s="348">
        <v>0</v>
      </c>
      <c r="AM91" s="348">
        <v>0</v>
      </c>
      <c r="AN91" s="348">
        <v>0</v>
      </c>
      <c r="AO91" s="348">
        <v>0</v>
      </c>
      <c r="AP91" s="348">
        <v>0</v>
      </c>
      <c r="AQ91" s="348">
        <v>0</v>
      </c>
      <c r="AR91" s="348">
        <v>0</v>
      </c>
      <c r="AS91" s="348">
        <v>0</v>
      </c>
      <c r="AT91" s="348">
        <v>0</v>
      </c>
      <c r="AU91" s="348">
        <v>0</v>
      </c>
      <c r="AV91" s="348">
        <v>0</v>
      </c>
      <c r="AW91" s="348">
        <v>0</v>
      </c>
      <c r="AX91" s="348">
        <v>0</v>
      </c>
      <c r="AY91" s="348">
        <v>0</v>
      </c>
      <c r="AZ91" s="348">
        <v>0</v>
      </c>
      <c r="BA91" s="348">
        <v>0</v>
      </c>
      <c r="BB91" s="348">
        <v>0</v>
      </c>
      <c r="BC91" s="348">
        <v>0</v>
      </c>
      <c r="BD91" s="348">
        <v>0</v>
      </c>
      <c r="BE91" s="348">
        <v>0</v>
      </c>
      <c r="BF91" s="348">
        <v>0</v>
      </c>
      <c r="BG91" s="347">
        <f t="shared" si="33"/>
        <v>673213799.05999994</v>
      </c>
      <c r="BH91" s="347">
        <f t="shared" si="33"/>
        <v>639832377.52799988</v>
      </c>
      <c r="BI91" s="347">
        <f t="shared" si="33"/>
        <v>438441868.01000005</v>
      </c>
      <c r="BJ91" s="347">
        <f t="shared" si="33"/>
        <v>214457133.24600002</v>
      </c>
      <c r="BK91" s="287"/>
    </row>
    <row r="92" spans="1:64" ht="45.75" customHeight="1" x14ac:dyDescent="0.2">
      <c r="A92" s="297" t="s">
        <v>2069</v>
      </c>
      <c r="B92" s="346"/>
      <c r="C92" s="347">
        <f>2405367829.4/5</f>
        <v>481073565.88</v>
      </c>
      <c r="D92" s="347">
        <f>2238460721.74/5</f>
        <v>447692144.34799993</v>
      </c>
      <c r="E92" s="347">
        <f>2081508174.15/5</f>
        <v>416301634.83000004</v>
      </c>
      <c r="F92" s="347">
        <f>961584500.33/5</f>
        <v>192316900.06600001</v>
      </c>
      <c r="G92" s="348">
        <v>0</v>
      </c>
      <c r="H92" s="348">
        <v>0</v>
      </c>
      <c r="I92" s="348">
        <v>0</v>
      </c>
      <c r="J92" s="348">
        <v>0</v>
      </c>
      <c r="K92" s="348">
        <v>0</v>
      </c>
      <c r="L92" s="348">
        <v>0</v>
      </c>
      <c r="M92" s="348">
        <v>0</v>
      </c>
      <c r="N92" s="348">
        <v>0</v>
      </c>
      <c r="O92" s="347">
        <f t="shared" si="45"/>
        <v>192140233.18000001</v>
      </c>
      <c r="P92" s="347">
        <f t="shared" si="45"/>
        <v>192140233.18000001</v>
      </c>
      <c r="Q92" s="347">
        <f t="shared" si="46"/>
        <v>22140233.18</v>
      </c>
      <c r="R92" s="347">
        <f t="shared" si="46"/>
        <v>22140233.18</v>
      </c>
      <c r="S92" s="348">
        <v>0</v>
      </c>
      <c r="T92" s="348">
        <v>0</v>
      </c>
      <c r="U92" s="348">
        <v>0</v>
      </c>
      <c r="V92" s="348">
        <v>0</v>
      </c>
      <c r="W92" s="348">
        <v>0</v>
      </c>
      <c r="X92" s="348">
        <v>0</v>
      </c>
      <c r="Y92" s="348">
        <v>0</v>
      </c>
      <c r="Z92" s="348">
        <v>0</v>
      </c>
      <c r="AA92" s="348">
        <v>0</v>
      </c>
      <c r="AB92" s="348">
        <v>0</v>
      </c>
      <c r="AC92" s="348">
        <v>0</v>
      </c>
      <c r="AD92" s="348">
        <v>0</v>
      </c>
      <c r="AE92" s="348">
        <v>0</v>
      </c>
      <c r="AF92" s="348">
        <v>0</v>
      </c>
      <c r="AG92" s="348">
        <v>0</v>
      </c>
      <c r="AH92" s="348">
        <v>0</v>
      </c>
      <c r="AI92" s="348">
        <v>0</v>
      </c>
      <c r="AJ92" s="348">
        <v>0</v>
      </c>
      <c r="AK92" s="348">
        <v>0</v>
      </c>
      <c r="AL92" s="348">
        <v>0</v>
      </c>
      <c r="AM92" s="348">
        <v>0</v>
      </c>
      <c r="AN92" s="348">
        <v>0</v>
      </c>
      <c r="AO92" s="348">
        <v>0</v>
      </c>
      <c r="AP92" s="348">
        <v>0</v>
      </c>
      <c r="AQ92" s="348">
        <v>0</v>
      </c>
      <c r="AR92" s="348">
        <v>0</v>
      </c>
      <c r="AS92" s="348">
        <v>0</v>
      </c>
      <c r="AT92" s="348">
        <v>0</v>
      </c>
      <c r="AU92" s="348">
        <v>0</v>
      </c>
      <c r="AV92" s="348">
        <v>0</v>
      </c>
      <c r="AW92" s="348">
        <v>0</v>
      </c>
      <c r="AX92" s="348">
        <v>0</v>
      </c>
      <c r="AY92" s="348">
        <v>0</v>
      </c>
      <c r="AZ92" s="348">
        <v>0</v>
      </c>
      <c r="BA92" s="348">
        <v>0</v>
      </c>
      <c r="BB92" s="348">
        <v>0</v>
      </c>
      <c r="BC92" s="348">
        <v>0</v>
      </c>
      <c r="BD92" s="348">
        <v>0</v>
      </c>
      <c r="BE92" s="348">
        <v>0</v>
      </c>
      <c r="BF92" s="348">
        <v>0</v>
      </c>
      <c r="BG92" s="347">
        <f t="shared" si="33"/>
        <v>673213799.05999994</v>
      </c>
      <c r="BH92" s="347">
        <f t="shared" si="33"/>
        <v>639832377.52799988</v>
      </c>
      <c r="BI92" s="347">
        <f t="shared" si="33"/>
        <v>438441868.01000005</v>
      </c>
      <c r="BJ92" s="347">
        <f t="shared" si="33"/>
        <v>214457133.24600002</v>
      </c>
      <c r="BK92" s="287"/>
    </row>
    <row r="93" spans="1:64" ht="45.75" customHeight="1" x14ac:dyDescent="0.2">
      <c r="A93" s="297" t="s">
        <v>2070</v>
      </c>
      <c r="B93" s="349"/>
      <c r="C93" s="347">
        <f>2405367829.4/5</f>
        <v>481073565.88</v>
      </c>
      <c r="D93" s="347">
        <f>2238460721.74/5</f>
        <v>447692144.34799993</v>
      </c>
      <c r="E93" s="347">
        <f>2081508174.15/5</f>
        <v>416301634.83000004</v>
      </c>
      <c r="F93" s="347">
        <f>961584500.33/5</f>
        <v>192316900.06600001</v>
      </c>
      <c r="G93" s="348">
        <v>0</v>
      </c>
      <c r="H93" s="348">
        <v>0</v>
      </c>
      <c r="I93" s="348">
        <v>0</v>
      </c>
      <c r="J93" s="348">
        <v>0</v>
      </c>
      <c r="K93" s="348">
        <v>0</v>
      </c>
      <c r="L93" s="348">
        <v>0</v>
      </c>
      <c r="M93" s="348">
        <v>0</v>
      </c>
      <c r="N93" s="348">
        <v>0</v>
      </c>
      <c r="O93" s="347">
        <f t="shared" si="45"/>
        <v>192140233.18000001</v>
      </c>
      <c r="P93" s="347">
        <f t="shared" si="45"/>
        <v>192140233.18000001</v>
      </c>
      <c r="Q93" s="347">
        <f t="shared" si="46"/>
        <v>22140233.18</v>
      </c>
      <c r="R93" s="347">
        <f t="shared" si="46"/>
        <v>22140233.18</v>
      </c>
      <c r="S93" s="348">
        <v>0</v>
      </c>
      <c r="T93" s="348">
        <v>0</v>
      </c>
      <c r="U93" s="348">
        <v>0</v>
      </c>
      <c r="V93" s="348">
        <v>0</v>
      </c>
      <c r="W93" s="348">
        <v>0</v>
      </c>
      <c r="X93" s="348">
        <v>0</v>
      </c>
      <c r="Y93" s="348">
        <v>0</v>
      </c>
      <c r="Z93" s="348">
        <v>0</v>
      </c>
      <c r="AA93" s="348">
        <v>0</v>
      </c>
      <c r="AB93" s="348">
        <v>0</v>
      </c>
      <c r="AC93" s="348">
        <v>0</v>
      </c>
      <c r="AD93" s="348">
        <v>0</v>
      </c>
      <c r="AE93" s="348">
        <v>0</v>
      </c>
      <c r="AF93" s="348">
        <v>0</v>
      </c>
      <c r="AG93" s="348">
        <v>0</v>
      </c>
      <c r="AH93" s="348">
        <v>0</v>
      </c>
      <c r="AI93" s="348">
        <v>0</v>
      </c>
      <c r="AJ93" s="348">
        <v>0</v>
      </c>
      <c r="AK93" s="348">
        <v>0</v>
      </c>
      <c r="AL93" s="348">
        <v>0</v>
      </c>
      <c r="AM93" s="348">
        <v>0</v>
      </c>
      <c r="AN93" s="348">
        <v>0</v>
      </c>
      <c r="AO93" s="348">
        <v>0</v>
      </c>
      <c r="AP93" s="348">
        <v>0</v>
      </c>
      <c r="AQ93" s="348">
        <v>0</v>
      </c>
      <c r="AR93" s="348">
        <v>0</v>
      </c>
      <c r="AS93" s="348">
        <v>0</v>
      </c>
      <c r="AT93" s="348">
        <v>0</v>
      </c>
      <c r="AU93" s="348">
        <v>0</v>
      </c>
      <c r="AV93" s="348">
        <v>0</v>
      </c>
      <c r="AW93" s="348">
        <v>0</v>
      </c>
      <c r="AX93" s="348">
        <v>0</v>
      </c>
      <c r="AY93" s="348">
        <v>0</v>
      </c>
      <c r="AZ93" s="348">
        <v>0</v>
      </c>
      <c r="BA93" s="348">
        <v>0</v>
      </c>
      <c r="BB93" s="348">
        <v>0</v>
      </c>
      <c r="BC93" s="348">
        <v>0</v>
      </c>
      <c r="BD93" s="348">
        <v>0</v>
      </c>
      <c r="BE93" s="348">
        <v>0</v>
      </c>
      <c r="BF93" s="348">
        <v>0</v>
      </c>
      <c r="BG93" s="347">
        <f t="shared" si="33"/>
        <v>673213799.05999994</v>
      </c>
      <c r="BH93" s="347">
        <f t="shared" si="33"/>
        <v>639832377.52799988</v>
      </c>
      <c r="BI93" s="347">
        <f t="shared" si="33"/>
        <v>438441868.01000005</v>
      </c>
      <c r="BJ93" s="347">
        <f t="shared" si="33"/>
        <v>214457133.24600002</v>
      </c>
      <c r="BK93" s="302">
        <f>+SUM(BG84:BG93)-B84</f>
        <v>0</v>
      </c>
    </row>
    <row r="94" spans="1:64" ht="45.75" customHeight="1" x14ac:dyDescent="0.2">
      <c r="A94" s="303" t="s">
        <v>2071</v>
      </c>
      <c r="B94" s="343">
        <f>SUM(B95:B98)</f>
        <v>4832677125.6000004</v>
      </c>
      <c r="C94" s="343">
        <f t="shared" ref="C94:BF94" si="47">SUM(C95:C98)</f>
        <v>2550798954.3099999</v>
      </c>
      <c r="D94" s="343">
        <f t="shared" si="47"/>
        <v>2416075446.71</v>
      </c>
      <c r="E94" s="343">
        <f t="shared" si="47"/>
        <v>2375387007.71</v>
      </c>
      <c r="F94" s="343">
        <f t="shared" si="47"/>
        <v>2352011823.71</v>
      </c>
      <c r="G94" s="343">
        <f t="shared" si="47"/>
        <v>268363440</v>
      </c>
      <c r="H94" s="343">
        <f t="shared" si="47"/>
        <v>117313702</v>
      </c>
      <c r="I94" s="343">
        <f t="shared" si="47"/>
        <v>117313702</v>
      </c>
      <c r="J94" s="343">
        <f t="shared" si="47"/>
        <v>117313702</v>
      </c>
      <c r="K94" s="343">
        <f t="shared" si="47"/>
        <v>126034934.56</v>
      </c>
      <c r="L94" s="343">
        <f t="shared" si="47"/>
        <v>80400616</v>
      </c>
      <c r="M94" s="343">
        <f t="shared" si="47"/>
        <v>80400616</v>
      </c>
      <c r="N94" s="343">
        <f t="shared" si="47"/>
        <v>78262648</v>
      </c>
      <c r="O94" s="343">
        <f t="shared" si="47"/>
        <v>0</v>
      </c>
      <c r="P94" s="343">
        <f t="shared" si="47"/>
        <v>0</v>
      </c>
      <c r="Q94" s="343">
        <f t="shared" si="47"/>
        <v>0</v>
      </c>
      <c r="R94" s="343">
        <f t="shared" si="47"/>
        <v>0</v>
      </c>
      <c r="S94" s="343">
        <f t="shared" si="47"/>
        <v>10000000</v>
      </c>
      <c r="T94" s="343">
        <f t="shared" si="47"/>
        <v>9858992</v>
      </c>
      <c r="U94" s="343">
        <f t="shared" si="47"/>
        <v>9858992</v>
      </c>
      <c r="V94" s="343">
        <f t="shared" si="47"/>
        <v>9858992</v>
      </c>
      <c r="W94" s="343">
        <f>SUM(W95:W98)</f>
        <v>1347479796.73</v>
      </c>
      <c r="X94" s="343">
        <f t="shared" si="47"/>
        <v>1347470320</v>
      </c>
      <c r="Y94" s="343">
        <f t="shared" si="47"/>
        <v>404241096</v>
      </c>
      <c r="Z94" s="343">
        <f t="shared" si="47"/>
        <v>404241096</v>
      </c>
      <c r="AA94" s="343">
        <f t="shared" si="47"/>
        <v>100000000</v>
      </c>
      <c r="AB94" s="343">
        <f t="shared" si="47"/>
        <v>98793036</v>
      </c>
      <c r="AC94" s="343">
        <f t="shared" si="47"/>
        <v>98793036</v>
      </c>
      <c r="AD94" s="343">
        <f t="shared" si="47"/>
        <v>98793036</v>
      </c>
      <c r="AE94" s="343">
        <f t="shared" si="47"/>
        <v>0</v>
      </c>
      <c r="AF94" s="343">
        <f t="shared" si="47"/>
        <v>0</v>
      </c>
      <c r="AG94" s="343">
        <f t="shared" si="47"/>
        <v>0</v>
      </c>
      <c r="AH94" s="343">
        <f t="shared" si="47"/>
        <v>0</v>
      </c>
      <c r="AI94" s="343">
        <f t="shared" si="47"/>
        <v>0</v>
      </c>
      <c r="AJ94" s="343">
        <f t="shared" si="47"/>
        <v>0</v>
      </c>
      <c r="AK94" s="343">
        <f t="shared" si="47"/>
        <v>0</v>
      </c>
      <c r="AL94" s="343">
        <f t="shared" si="47"/>
        <v>0</v>
      </c>
      <c r="AM94" s="343">
        <f t="shared" si="47"/>
        <v>0</v>
      </c>
      <c r="AN94" s="343">
        <f t="shared" si="47"/>
        <v>0</v>
      </c>
      <c r="AO94" s="343">
        <f t="shared" si="47"/>
        <v>0</v>
      </c>
      <c r="AP94" s="343">
        <f t="shared" si="47"/>
        <v>0</v>
      </c>
      <c r="AQ94" s="343">
        <f t="shared" si="47"/>
        <v>0</v>
      </c>
      <c r="AR94" s="343">
        <f t="shared" si="47"/>
        <v>0</v>
      </c>
      <c r="AS94" s="343">
        <f t="shared" si="47"/>
        <v>0</v>
      </c>
      <c r="AT94" s="343">
        <f t="shared" si="47"/>
        <v>0</v>
      </c>
      <c r="AU94" s="343">
        <f t="shared" si="47"/>
        <v>0</v>
      </c>
      <c r="AV94" s="343">
        <f t="shared" si="47"/>
        <v>0</v>
      </c>
      <c r="AW94" s="343">
        <f t="shared" si="47"/>
        <v>0</v>
      </c>
      <c r="AX94" s="343">
        <f t="shared" si="47"/>
        <v>0</v>
      </c>
      <c r="AY94" s="343">
        <f t="shared" si="47"/>
        <v>250000000</v>
      </c>
      <c r="AZ94" s="343">
        <f t="shared" si="47"/>
        <v>249193180</v>
      </c>
      <c r="BA94" s="343">
        <f t="shared" si="47"/>
        <v>249193180</v>
      </c>
      <c r="BB94" s="343">
        <f t="shared" si="47"/>
        <v>249193180</v>
      </c>
      <c r="BC94" s="343">
        <f t="shared" si="47"/>
        <v>180000000</v>
      </c>
      <c r="BD94" s="343">
        <f t="shared" si="47"/>
        <v>180000000</v>
      </c>
      <c r="BE94" s="343">
        <f t="shared" si="47"/>
        <v>180000000</v>
      </c>
      <c r="BF94" s="343">
        <f t="shared" si="47"/>
        <v>177948611</v>
      </c>
      <c r="BG94" s="343">
        <f t="shared" si="33"/>
        <v>4832677125.6000004</v>
      </c>
      <c r="BH94" s="343">
        <f t="shared" si="33"/>
        <v>4499105292.71</v>
      </c>
      <c r="BI94" s="343">
        <f t="shared" si="33"/>
        <v>3515187629.71</v>
      </c>
      <c r="BJ94" s="343">
        <f t="shared" si="33"/>
        <v>3487623088.71</v>
      </c>
      <c r="BK94" s="291">
        <f>+SUM(BG95:BG98)-B94</f>
        <v>0</v>
      </c>
      <c r="BL94" s="292">
        <f>+BG94-B94</f>
        <v>0</v>
      </c>
    </row>
    <row r="95" spans="1:64" ht="45.75" customHeight="1" x14ac:dyDescent="0.2">
      <c r="A95" s="297" t="s">
        <v>2072</v>
      </c>
      <c r="B95" s="355">
        <f>3485197328.87+1347479796.73</f>
        <v>4832677125.6000004</v>
      </c>
      <c r="C95" s="347">
        <f>2550798954.31/3</f>
        <v>850266318.10333335</v>
      </c>
      <c r="D95" s="347">
        <f>2416075446.71/3</f>
        <v>805358482.23666668</v>
      </c>
      <c r="E95" s="347">
        <f>2375387007.71/3</f>
        <v>791795669.23666668</v>
      </c>
      <c r="F95" s="347">
        <f>2352011823.71/3</f>
        <v>784003941.23666668</v>
      </c>
      <c r="G95" s="347">
        <f>268363440/3</f>
        <v>89454480</v>
      </c>
      <c r="H95" s="347">
        <f t="shared" ref="H95:J96" si="48">117313702/3</f>
        <v>39104567.333333336</v>
      </c>
      <c r="I95" s="347">
        <f t="shared" si="48"/>
        <v>39104567.333333336</v>
      </c>
      <c r="J95" s="347">
        <f t="shared" si="48"/>
        <v>39104567.333333336</v>
      </c>
      <c r="K95" s="347">
        <f>126034934.56/2</f>
        <v>63017467.280000001</v>
      </c>
      <c r="L95" s="347">
        <f>80400616/2</f>
        <v>40200308</v>
      </c>
      <c r="M95" s="347">
        <f>80400616/2</f>
        <v>40200308</v>
      </c>
      <c r="N95" s="347">
        <f>78262648/2</f>
        <v>39131324</v>
      </c>
      <c r="O95" s="348">
        <v>0</v>
      </c>
      <c r="P95" s="348">
        <v>0</v>
      </c>
      <c r="Q95" s="348">
        <v>0</v>
      </c>
      <c r="R95" s="348">
        <v>0</v>
      </c>
      <c r="S95" s="347">
        <f>10000000/2</f>
        <v>5000000</v>
      </c>
      <c r="T95" s="347">
        <f>9858992/2</f>
        <v>4929496</v>
      </c>
      <c r="U95" s="347">
        <f>9858992/2</f>
        <v>4929496</v>
      </c>
      <c r="V95" s="347">
        <f>9858992/2</f>
        <v>4929496</v>
      </c>
      <c r="W95" s="348">
        <v>0</v>
      </c>
      <c r="X95" s="348">
        <v>0</v>
      </c>
      <c r="Y95" s="348">
        <v>0</v>
      </c>
      <c r="Z95" s="348">
        <v>0</v>
      </c>
      <c r="AA95" s="347">
        <f>100000000/2</f>
        <v>50000000</v>
      </c>
      <c r="AB95" s="347">
        <f>98793036/2</f>
        <v>49396518</v>
      </c>
      <c r="AC95" s="347">
        <f>98793036/2</f>
        <v>49396518</v>
      </c>
      <c r="AD95" s="347">
        <f>98793036/2</f>
        <v>49396518</v>
      </c>
      <c r="AE95" s="348">
        <v>0</v>
      </c>
      <c r="AF95" s="348">
        <v>0</v>
      </c>
      <c r="AG95" s="348">
        <v>0</v>
      </c>
      <c r="AH95" s="348">
        <v>0</v>
      </c>
      <c r="AI95" s="348">
        <v>0</v>
      </c>
      <c r="AJ95" s="348">
        <v>0</v>
      </c>
      <c r="AK95" s="348">
        <v>0</v>
      </c>
      <c r="AL95" s="348">
        <v>0</v>
      </c>
      <c r="AM95" s="348">
        <v>0</v>
      </c>
      <c r="AN95" s="348">
        <v>0</v>
      </c>
      <c r="AO95" s="348">
        <v>0</v>
      </c>
      <c r="AP95" s="348">
        <v>0</v>
      </c>
      <c r="AQ95" s="348">
        <v>0</v>
      </c>
      <c r="AR95" s="348">
        <v>0</v>
      </c>
      <c r="AS95" s="348">
        <v>0</v>
      </c>
      <c r="AT95" s="348">
        <v>0</v>
      </c>
      <c r="AU95" s="348">
        <v>0</v>
      </c>
      <c r="AV95" s="348">
        <v>0</v>
      </c>
      <c r="AW95" s="348">
        <v>0</v>
      </c>
      <c r="AX95" s="348">
        <v>0</v>
      </c>
      <c r="AY95" s="347">
        <f>+[13]InfMesPptoCDP.rpt!$P$576</f>
        <v>250000000</v>
      </c>
      <c r="AZ95" s="347">
        <f>+[13]InfMesPptoCDP.rpt!$Q$576</f>
        <v>249193180</v>
      </c>
      <c r="BA95" s="347">
        <f>+[13]InfMesPptoCDP.rpt!$R$576</f>
        <v>249193180</v>
      </c>
      <c r="BB95" s="347">
        <f>+[13]InfMesPptoCDP.rpt!$S$576</f>
        <v>249193180</v>
      </c>
      <c r="BC95" s="348">
        <v>0</v>
      </c>
      <c r="BD95" s="348">
        <v>0</v>
      </c>
      <c r="BE95" s="348">
        <v>0</v>
      </c>
      <c r="BF95" s="348">
        <v>0</v>
      </c>
      <c r="BG95" s="347">
        <f t="shared" si="33"/>
        <v>1307738265.3833332</v>
      </c>
      <c r="BH95" s="347">
        <f t="shared" si="33"/>
        <v>1188182551.5700002</v>
      </c>
      <c r="BI95" s="347">
        <f t="shared" si="33"/>
        <v>1174619738.5700002</v>
      </c>
      <c r="BJ95" s="347">
        <f t="shared" si="33"/>
        <v>1165759026.5700002</v>
      </c>
      <c r="BK95" s="287"/>
    </row>
    <row r="96" spans="1:64" ht="45.75" customHeight="1" x14ac:dyDescent="0.2">
      <c r="A96" s="297" t="s">
        <v>2073</v>
      </c>
      <c r="B96" s="355"/>
      <c r="C96" s="347">
        <f>2550798954.31/3</f>
        <v>850266318.10333335</v>
      </c>
      <c r="D96" s="347">
        <f>2416075446.71/3</f>
        <v>805358482.23666668</v>
      </c>
      <c r="E96" s="347">
        <f>2375387007.71/3</f>
        <v>791795669.23666668</v>
      </c>
      <c r="F96" s="347">
        <f>2352011823.71/3</f>
        <v>784003941.23666668</v>
      </c>
      <c r="G96" s="347">
        <f>268363440/3</f>
        <v>89454480</v>
      </c>
      <c r="H96" s="347">
        <f t="shared" si="48"/>
        <v>39104567.333333336</v>
      </c>
      <c r="I96" s="347">
        <f t="shared" si="48"/>
        <v>39104567.333333336</v>
      </c>
      <c r="J96" s="347">
        <f t="shared" si="48"/>
        <v>39104567.333333336</v>
      </c>
      <c r="K96" s="348">
        <v>0</v>
      </c>
      <c r="L96" s="348">
        <v>0</v>
      </c>
      <c r="M96" s="348">
        <v>0</v>
      </c>
      <c r="N96" s="348">
        <v>0</v>
      </c>
      <c r="O96" s="348">
        <v>0</v>
      </c>
      <c r="P96" s="348">
        <v>0</v>
      </c>
      <c r="Q96" s="348">
        <v>0</v>
      </c>
      <c r="R96" s="348">
        <v>0</v>
      </c>
      <c r="S96" s="348">
        <v>0</v>
      </c>
      <c r="T96" s="348">
        <v>0</v>
      </c>
      <c r="U96" s="348">
        <v>0</v>
      </c>
      <c r="V96" s="348">
        <v>0</v>
      </c>
      <c r="W96" s="348">
        <v>0</v>
      </c>
      <c r="X96" s="348">
        <v>0</v>
      </c>
      <c r="Y96" s="348">
        <v>0</v>
      </c>
      <c r="Z96" s="348">
        <v>0</v>
      </c>
      <c r="AA96" s="348">
        <v>0</v>
      </c>
      <c r="AB96" s="348">
        <v>0</v>
      </c>
      <c r="AC96" s="348">
        <v>0</v>
      </c>
      <c r="AD96" s="348">
        <v>0</v>
      </c>
      <c r="AE96" s="348">
        <v>0</v>
      </c>
      <c r="AF96" s="348">
        <v>0</v>
      </c>
      <c r="AG96" s="348">
        <v>0</v>
      </c>
      <c r="AH96" s="348">
        <v>0</v>
      </c>
      <c r="AI96" s="348">
        <v>0</v>
      </c>
      <c r="AJ96" s="348">
        <v>0</v>
      </c>
      <c r="AK96" s="348">
        <v>0</v>
      </c>
      <c r="AL96" s="348">
        <v>0</v>
      </c>
      <c r="AM96" s="348">
        <v>0</v>
      </c>
      <c r="AN96" s="348">
        <v>0</v>
      </c>
      <c r="AO96" s="348">
        <v>0</v>
      </c>
      <c r="AP96" s="348">
        <v>0</v>
      </c>
      <c r="AQ96" s="348">
        <v>0</v>
      </c>
      <c r="AR96" s="348">
        <v>0</v>
      </c>
      <c r="AS96" s="348">
        <v>0</v>
      </c>
      <c r="AT96" s="348">
        <v>0</v>
      </c>
      <c r="AU96" s="348">
        <v>0</v>
      </c>
      <c r="AV96" s="348">
        <v>0</v>
      </c>
      <c r="AW96" s="348">
        <v>0</v>
      </c>
      <c r="AX96" s="348">
        <v>0</v>
      </c>
      <c r="AY96" s="348">
        <v>0</v>
      </c>
      <c r="AZ96" s="348">
        <v>0</v>
      </c>
      <c r="BA96" s="348">
        <v>0</v>
      </c>
      <c r="BB96" s="348">
        <v>0</v>
      </c>
      <c r="BC96" s="347">
        <f>+[13]InfMesPptoCDP.rpt!$P$577</f>
        <v>180000000</v>
      </c>
      <c r="BD96" s="347">
        <f>+[13]InfMesPptoCDP.rpt!$Q$577</f>
        <v>180000000</v>
      </c>
      <c r="BE96" s="347">
        <f>+[13]InfMesPptoCDP.rpt!$R$577</f>
        <v>180000000</v>
      </c>
      <c r="BF96" s="347">
        <f>+[13]InfMesPptoCDP.rpt!$S$577</f>
        <v>177948611</v>
      </c>
      <c r="BG96" s="347">
        <f t="shared" si="33"/>
        <v>1119720798.1033335</v>
      </c>
      <c r="BH96" s="347">
        <f t="shared" si="33"/>
        <v>1024463049.5700001</v>
      </c>
      <c r="BI96" s="347">
        <f t="shared" si="33"/>
        <v>1010900236.5700001</v>
      </c>
      <c r="BJ96" s="347">
        <f t="shared" si="33"/>
        <v>1001057119.5700001</v>
      </c>
      <c r="BK96" s="287"/>
    </row>
    <row r="97" spans="1:64" ht="45.75" customHeight="1" x14ac:dyDescent="0.2">
      <c r="A97" s="305" t="s">
        <v>2074</v>
      </c>
      <c r="B97" s="355"/>
      <c r="C97" s="353">
        <v>0</v>
      </c>
      <c r="D97" s="353">
        <v>0</v>
      </c>
      <c r="E97" s="353">
        <v>0</v>
      </c>
      <c r="F97" s="353">
        <v>0</v>
      </c>
      <c r="G97" s="353">
        <v>0</v>
      </c>
      <c r="H97" s="353">
        <v>0</v>
      </c>
      <c r="I97" s="353">
        <v>0</v>
      </c>
      <c r="J97" s="353">
        <v>0</v>
      </c>
      <c r="K97" s="353">
        <v>0</v>
      </c>
      <c r="L97" s="353">
        <v>0</v>
      </c>
      <c r="M97" s="353">
        <v>0</v>
      </c>
      <c r="N97" s="353">
        <v>0</v>
      </c>
      <c r="O97" s="353">
        <v>0</v>
      </c>
      <c r="P97" s="353">
        <v>0</v>
      </c>
      <c r="Q97" s="353">
        <v>0</v>
      </c>
      <c r="R97" s="353">
        <v>0</v>
      </c>
      <c r="S97" s="353">
        <v>0</v>
      </c>
      <c r="T97" s="353">
        <v>0</v>
      </c>
      <c r="U97" s="353">
        <v>0</v>
      </c>
      <c r="V97" s="353">
        <v>0</v>
      </c>
      <c r="W97" s="353">
        <v>1347479796.73</v>
      </c>
      <c r="X97" s="353">
        <v>1347470320</v>
      </c>
      <c r="Y97" s="353">
        <v>404241096</v>
      </c>
      <c r="Z97" s="353">
        <v>404241096</v>
      </c>
      <c r="AA97" s="353">
        <v>0</v>
      </c>
      <c r="AB97" s="353">
        <v>0</v>
      </c>
      <c r="AC97" s="353">
        <v>0</v>
      </c>
      <c r="AD97" s="353">
        <v>0</v>
      </c>
      <c r="AE97" s="353">
        <v>0</v>
      </c>
      <c r="AF97" s="353">
        <v>0</v>
      </c>
      <c r="AG97" s="353">
        <v>0</v>
      </c>
      <c r="AH97" s="353">
        <v>0</v>
      </c>
      <c r="AI97" s="353">
        <v>0</v>
      </c>
      <c r="AJ97" s="353">
        <v>0</v>
      </c>
      <c r="AK97" s="353">
        <v>0</v>
      </c>
      <c r="AL97" s="353">
        <v>0</v>
      </c>
      <c r="AM97" s="353">
        <v>0</v>
      </c>
      <c r="AN97" s="353">
        <v>0</v>
      </c>
      <c r="AO97" s="353">
        <v>0</v>
      </c>
      <c r="AP97" s="353">
        <v>0</v>
      </c>
      <c r="AQ97" s="353">
        <v>0</v>
      </c>
      <c r="AR97" s="353">
        <v>0</v>
      </c>
      <c r="AS97" s="353">
        <v>0</v>
      </c>
      <c r="AT97" s="353">
        <v>0</v>
      </c>
      <c r="AU97" s="353">
        <v>0</v>
      </c>
      <c r="AV97" s="353">
        <v>0</v>
      </c>
      <c r="AW97" s="353">
        <v>0</v>
      </c>
      <c r="AX97" s="353">
        <v>0</v>
      </c>
      <c r="AY97" s="353">
        <v>0</v>
      </c>
      <c r="AZ97" s="353">
        <v>0</v>
      </c>
      <c r="BA97" s="353">
        <v>0</v>
      </c>
      <c r="BB97" s="353">
        <v>0</v>
      </c>
      <c r="BC97" s="353">
        <v>0</v>
      </c>
      <c r="BD97" s="353">
        <v>0</v>
      </c>
      <c r="BE97" s="353">
        <v>0</v>
      </c>
      <c r="BF97" s="353">
        <v>0</v>
      </c>
      <c r="BG97" s="353">
        <f t="shared" si="33"/>
        <v>1347479796.73</v>
      </c>
      <c r="BH97" s="353">
        <f t="shared" si="33"/>
        <v>1347470320</v>
      </c>
      <c r="BI97" s="353">
        <f t="shared" si="33"/>
        <v>404241096</v>
      </c>
      <c r="BJ97" s="353">
        <f t="shared" si="33"/>
        <v>404241096</v>
      </c>
      <c r="BK97" s="314"/>
    </row>
    <row r="98" spans="1:64" ht="45.75" customHeight="1" x14ac:dyDescent="0.2">
      <c r="A98" s="297" t="s">
        <v>2075</v>
      </c>
      <c r="B98" s="355"/>
      <c r="C98" s="347">
        <f>2550798954.31/3</f>
        <v>850266318.10333335</v>
      </c>
      <c r="D98" s="347">
        <f>2416075446.71/3</f>
        <v>805358482.23666668</v>
      </c>
      <c r="E98" s="347">
        <f>2375387007.71/3</f>
        <v>791795669.23666668</v>
      </c>
      <c r="F98" s="347">
        <f>2352011823.71/3</f>
        <v>784003941.23666668</v>
      </c>
      <c r="G98" s="347">
        <f>268363440/3</f>
        <v>89454480</v>
      </c>
      <c r="H98" s="347">
        <f>117313702/3</f>
        <v>39104567.333333336</v>
      </c>
      <c r="I98" s="347">
        <f>117313702/3</f>
        <v>39104567.333333336</v>
      </c>
      <c r="J98" s="347">
        <f>117313702/3</f>
        <v>39104567.333333336</v>
      </c>
      <c r="K98" s="347">
        <f>126034934.56/2</f>
        <v>63017467.280000001</v>
      </c>
      <c r="L98" s="347">
        <f>80400616/2</f>
        <v>40200308</v>
      </c>
      <c r="M98" s="347">
        <f>80400616/2</f>
        <v>40200308</v>
      </c>
      <c r="N98" s="347">
        <f>78262648/2</f>
        <v>39131324</v>
      </c>
      <c r="O98" s="348">
        <v>0</v>
      </c>
      <c r="P98" s="348">
        <v>0</v>
      </c>
      <c r="Q98" s="348">
        <v>0</v>
      </c>
      <c r="R98" s="348">
        <v>0</v>
      </c>
      <c r="S98" s="347">
        <f>10000000/2</f>
        <v>5000000</v>
      </c>
      <c r="T98" s="347">
        <f>9858992/2</f>
        <v>4929496</v>
      </c>
      <c r="U98" s="347">
        <f>9858992/2</f>
        <v>4929496</v>
      </c>
      <c r="V98" s="347">
        <f>9858992/2</f>
        <v>4929496</v>
      </c>
      <c r="W98" s="348">
        <v>0</v>
      </c>
      <c r="X98" s="348">
        <v>0</v>
      </c>
      <c r="Y98" s="348">
        <v>0</v>
      </c>
      <c r="Z98" s="348">
        <v>0</v>
      </c>
      <c r="AA98" s="347">
        <f>100000000/2</f>
        <v>50000000</v>
      </c>
      <c r="AB98" s="347">
        <f>98793036/2</f>
        <v>49396518</v>
      </c>
      <c r="AC98" s="347">
        <f>98793036/2</f>
        <v>49396518</v>
      </c>
      <c r="AD98" s="347">
        <f>98793036/2</f>
        <v>49396518</v>
      </c>
      <c r="AE98" s="348">
        <v>0</v>
      </c>
      <c r="AF98" s="348">
        <v>0</v>
      </c>
      <c r="AG98" s="348">
        <v>0</v>
      </c>
      <c r="AH98" s="348">
        <v>0</v>
      </c>
      <c r="AI98" s="348">
        <v>0</v>
      </c>
      <c r="AJ98" s="348">
        <v>0</v>
      </c>
      <c r="AK98" s="348">
        <v>0</v>
      </c>
      <c r="AL98" s="348">
        <v>0</v>
      </c>
      <c r="AM98" s="348">
        <v>0</v>
      </c>
      <c r="AN98" s="348">
        <v>0</v>
      </c>
      <c r="AO98" s="348">
        <v>0</v>
      </c>
      <c r="AP98" s="348">
        <v>0</v>
      </c>
      <c r="AQ98" s="348">
        <v>0</v>
      </c>
      <c r="AR98" s="348">
        <v>0</v>
      </c>
      <c r="AS98" s="348">
        <v>0</v>
      </c>
      <c r="AT98" s="348">
        <v>0</v>
      </c>
      <c r="AU98" s="348">
        <v>0</v>
      </c>
      <c r="AV98" s="348">
        <v>0</v>
      </c>
      <c r="AW98" s="348">
        <v>0</v>
      </c>
      <c r="AX98" s="348">
        <v>0</v>
      </c>
      <c r="AY98" s="348">
        <v>0</v>
      </c>
      <c r="AZ98" s="348">
        <v>0</v>
      </c>
      <c r="BA98" s="348">
        <v>0</v>
      </c>
      <c r="BB98" s="348">
        <v>0</v>
      </c>
      <c r="BC98" s="348">
        <v>0</v>
      </c>
      <c r="BD98" s="348">
        <v>0</v>
      </c>
      <c r="BE98" s="348">
        <v>0</v>
      </c>
      <c r="BF98" s="348">
        <v>0</v>
      </c>
      <c r="BG98" s="347">
        <f t="shared" si="33"/>
        <v>1057738265.3833333</v>
      </c>
      <c r="BH98" s="347">
        <f t="shared" si="33"/>
        <v>938989371.57000005</v>
      </c>
      <c r="BI98" s="347">
        <f t="shared" si="33"/>
        <v>925426558.57000005</v>
      </c>
      <c r="BJ98" s="347">
        <f t="shared" si="33"/>
        <v>916565846.57000005</v>
      </c>
      <c r="BK98" s="302">
        <f>+SUM(BG95:BG98)-B95</f>
        <v>0</v>
      </c>
    </row>
    <row r="99" spans="1:64" ht="45.75" customHeight="1" x14ac:dyDescent="0.2">
      <c r="A99" s="303" t="s">
        <v>2076</v>
      </c>
      <c r="B99" s="343">
        <f>SUM(B100:B102)</f>
        <v>822307786</v>
      </c>
      <c r="C99" s="343">
        <f t="shared" ref="C99:BF99" si="49">SUM(C100:C102)</f>
        <v>822307786</v>
      </c>
      <c r="D99" s="343">
        <f t="shared" si="49"/>
        <v>598245559</v>
      </c>
      <c r="E99" s="343">
        <f t="shared" si="49"/>
        <v>598245559</v>
      </c>
      <c r="F99" s="343">
        <f t="shared" si="49"/>
        <v>589073639</v>
      </c>
      <c r="G99" s="343">
        <f t="shared" si="49"/>
        <v>0</v>
      </c>
      <c r="H99" s="343">
        <f t="shared" si="49"/>
        <v>0</v>
      </c>
      <c r="I99" s="343">
        <f t="shared" si="49"/>
        <v>0</v>
      </c>
      <c r="J99" s="343">
        <f t="shared" si="49"/>
        <v>0</v>
      </c>
      <c r="K99" s="343">
        <f t="shared" si="49"/>
        <v>0</v>
      </c>
      <c r="L99" s="343">
        <f t="shared" si="49"/>
        <v>0</v>
      </c>
      <c r="M99" s="343">
        <f t="shared" si="49"/>
        <v>0</v>
      </c>
      <c r="N99" s="343">
        <f t="shared" si="49"/>
        <v>0</v>
      </c>
      <c r="O99" s="343">
        <f t="shared" si="49"/>
        <v>0</v>
      </c>
      <c r="P99" s="343">
        <f t="shared" si="49"/>
        <v>0</v>
      </c>
      <c r="Q99" s="343">
        <f t="shared" si="49"/>
        <v>0</v>
      </c>
      <c r="R99" s="343">
        <f t="shared" si="49"/>
        <v>0</v>
      </c>
      <c r="S99" s="343">
        <f t="shared" si="49"/>
        <v>0</v>
      </c>
      <c r="T99" s="343">
        <f t="shared" si="49"/>
        <v>0</v>
      </c>
      <c r="U99" s="343">
        <f t="shared" si="49"/>
        <v>0</v>
      </c>
      <c r="V99" s="343">
        <f t="shared" si="49"/>
        <v>0</v>
      </c>
      <c r="W99" s="343">
        <f t="shared" si="49"/>
        <v>0</v>
      </c>
      <c r="X99" s="343">
        <f t="shared" si="49"/>
        <v>0</v>
      </c>
      <c r="Y99" s="343">
        <f t="shared" si="49"/>
        <v>0</v>
      </c>
      <c r="Z99" s="343">
        <f t="shared" si="49"/>
        <v>0</v>
      </c>
      <c r="AA99" s="343">
        <f t="shared" si="49"/>
        <v>0</v>
      </c>
      <c r="AB99" s="343">
        <f t="shared" si="49"/>
        <v>0</v>
      </c>
      <c r="AC99" s="343">
        <f t="shared" si="49"/>
        <v>0</v>
      </c>
      <c r="AD99" s="343">
        <f t="shared" si="49"/>
        <v>0</v>
      </c>
      <c r="AE99" s="343">
        <f t="shared" si="49"/>
        <v>0</v>
      </c>
      <c r="AF99" s="343">
        <f t="shared" si="49"/>
        <v>0</v>
      </c>
      <c r="AG99" s="343">
        <f t="shared" si="49"/>
        <v>0</v>
      </c>
      <c r="AH99" s="343">
        <f t="shared" si="49"/>
        <v>0</v>
      </c>
      <c r="AI99" s="343">
        <f t="shared" si="49"/>
        <v>0</v>
      </c>
      <c r="AJ99" s="343">
        <f t="shared" si="49"/>
        <v>0</v>
      </c>
      <c r="AK99" s="343">
        <f t="shared" si="49"/>
        <v>0</v>
      </c>
      <c r="AL99" s="343">
        <f t="shared" si="49"/>
        <v>0</v>
      </c>
      <c r="AM99" s="343">
        <f t="shared" si="49"/>
        <v>0</v>
      </c>
      <c r="AN99" s="343">
        <f t="shared" si="49"/>
        <v>0</v>
      </c>
      <c r="AO99" s="343">
        <f t="shared" si="49"/>
        <v>0</v>
      </c>
      <c r="AP99" s="343">
        <f t="shared" si="49"/>
        <v>0</v>
      </c>
      <c r="AQ99" s="343">
        <f t="shared" si="49"/>
        <v>0</v>
      </c>
      <c r="AR99" s="343">
        <f t="shared" si="49"/>
        <v>0</v>
      </c>
      <c r="AS99" s="343">
        <f t="shared" si="49"/>
        <v>0</v>
      </c>
      <c r="AT99" s="343">
        <f t="shared" si="49"/>
        <v>0</v>
      </c>
      <c r="AU99" s="343">
        <f t="shared" si="49"/>
        <v>0</v>
      </c>
      <c r="AV99" s="343">
        <f t="shared" si="49"/>
        <v>0</v>
      </c>
      <c r="AW99" s="343">
        <f t="shared" si="49"/>
        <v>0</v>
      </c>
      <c r="AX99" s="343">
        <f t="shared" si="49"/>
        <v>0</v>
      </c>
      <c r="AY99" s="343">
        <f t="shared" si="49"/>
        <v>0</v>
      </c>
      <c r="AZ99" s="343">
        <f t="shared" si="49"/>
        <v>0</v>
      </c>
      <c r="BA99" s="343">
        <f t="shared" si="49"/>
        <v>0</v>
      </c>
      <c r="BB99" s="343">
        <f t="shared" si="49"/>
        <v>0</v>
      </c>
      <c r="BC99" s="343">
        <f t="shared" si="49"/>
        <v>0</v>
      </c>
      <c r="BD99" s="343">
        <f t="shared" si="49"/>
        <v>0</v>
      </c>
      <c r="BE99" s="343">
        <f t="shared" si="49"/>
        <v>0</v>
      </c>
      <c r="BF99" s="343">
        <f t="shared" si="49"/>
        <v>0</v>
      </c>
      <c r="BG99" s="343">
        <f t="shared" si="33"/>
        <v>822307786</v>
      </c>
      <c r="BH99" s="343">
        <f t="shared" si="33"/>
        <v>598245559</v>
      </c>
      <c r="BI99" s="343">
        <f t="shared" si="33"/>
        <v>598245559</v>
      </c>
      <c r="BJ99" s="343">
        <f t="shared" si="33"/>
        <v>589073639</v>
      </c>
      <c r="BK99" s="291">
        <f>+SUM(BG100:BG102)-BG99</f>
        <v>0</v>
      </c>
      <c r="BL99" s="292">
        <f>+BG99-B99</f>
        <v>0</v>
      </c>
    </row>
    <row r="100" spans="1:64" ht="45.75" customHeight="1" x14ac:dyDescent="0.2">
      <c r="A100" s="297" t="s">
        <v>2077</v>
      </c>
      <c r="B100" s="344">
        <f>+[13]InfMesPptoCDP.rpt!$P$586</f>
        <v>822307786</v>
      </c>
      <c r="C100" s="347">
        <f>822307786/3</f>
        <v>274102595.33333331</v>
      </c>
      <c r="D100" s="347">
        <f t="shared" ref="D100:E102" si="50">598245559/3</f>
        <v>199415186.33333334</v>
      </c>
      <c r="E100" s="347">
        <f t="shared" si="50"/>
        <v>199415186.33333334</v>
      </c>
      <c r="F100" s="347">
        <f>589073639/3</f>
        <v>196357879.66666666</v>
      </c>
      <c r="G100" s="348">
        <v>0</v>
      </c>
      <c r="H100" s="348">
        <v>0</v>
      </c>
      <c r="I100" s="348">
        <v>0</v>
      </c>
      <c r="J100" s="348">
        <v>0</v>
      </c>
      <c r="K100" s="348">
        <v>0</v>
      </c>
      <c r="L100" s="348">
        <v>0</v>
      </c>
      <c r="M100" s="348">
        <v>0</v>
      </c>
      <c r="N100" s="348">
        <v>0</v>
      </c>
      <c r="O100" s="348">
        <v>0</v>
      </c>
      <c r="P100" s="348">
        <v>0</v>
      </c>
      <c r="Q100" s="348">
        <v>0</v>
      </c>
      <c r="R100" s="348">
        <v>0</v>
      </c>
      <c r="S100" s="348">
        <v>0</v>
      </c>
      <c r="T100" s="348">
        <v>0</v>
      </c>
      <c r="U100" s="348">
        <v>0</v>
      </c>
      <c r="V100" s="348">
        <v>0</v>
      </c>
      <c r="W100" s="348">
        <v>0</v>
      </c>
      <c r="X100" s="348">
        <v>0</v>
      </c>
      <c r="Y100" s="348">
        <v>0</v>
      </c>
      <c r="Z100" s="348">
        <v>0</v>
      </c>
      <c r="AA100" s="348">
        <v>0</v>
      </c>
      <c r="AB100" s="348">
        <v>0</v>
      </c>
      <c r="AC100" s="348">
        <v>0</v>
      </c>
      <c r="AD100" s="348">
        <v>0</v>
      </c>
      <c r="AE100" s="348">
        <v>0</v>
      </c>
      <c r="AF100" s="348">
        <v>0</v>
      </c>
      <c r="AG100" s="348">
        <v>0</v>
      </c>
      <c r="AH100" s="348">
        <v>0</v>
      </c>
      <c r="AI100" s="348">
        <v>0</v>
      </c>
      <c r="AJ100" s="348">
        <v>0</v>
      </c>
      <c r="AK100" s="348">
        <v>0</v>
      </c>
      <c r="AL100" s="348">
        <v>0</v>
      </c>
      <c r="AM100" s="348">
        <v>0</v>
      </c>
      <c r="AN100" s="348">
        <v>0</v>
      </c>
      <c r="AO100" s="348">
        <v>0</v>
      </c>
      <c r="AP100" s="348">
        <v>0</v>
      </c>
      <c r="AQ100" s="348">
        <v>0</v>
      </c>
      <c r="AR100" s="348">
        <v>0</v>
      </c>
      <c r="AS100" s="348">
        <v>0</v>
      </c>
      <c r="AT100" s="348">
        <v>0</v>
      </c>
      <c r="AU100" s="348">
        <v>0</v>
      </c>
      <c r="AV100" s="348">
        <v>0</v>
      </c>
      <c r="AW100" s="348">
        <v>0</v>
      </c>
      <c r="AX100" s="348">
        <v>0</v>
      </c>
      <c r="AY100" s="348">
        <v>0</v>
      </c>
      <c r="AZ100" s="348">
        <v>0</v>
      </c>
      <c r="BA100" s="348">
        <v>0</v>
      </c>
      <c r="BB100" s="348">
        <v>0</v>
      </c>
      <c r="BC100" s="348">
        <v>0</v>
      </c>
      <c r="BD100" s="348">
        <v>0</v>
      </c>
      <c r="BE100" s="348">
        <v>0</v>
      </c>
      <c r="BF100" s="348">
        <v>0</v>
      </c>
      <c r="BG100" s="347">
        <f t="shared" si="33"/>
        <v>274102595.33333331</v>
      </c>
      <c r="BH100" s="347">
        <f t="shared" si="33"/>
        <v>199415186.33333334</v>
      </c>
      <c r="BI100" s="347">
        <f t="shared" si="33"/>
        <v>199415186.33333334</v>
      </c>
      <c r="BJ100" s="347">
        <f t="shared" si="33"/>
        <v>196357879.66666666</v>
      </c>
      <c r="BK100" s="287"/>
    </row>
    <row r="101" spans="1:64" ht="45.75" customHeight="1" x14ac:dyDescent="0.2">
      <c r="A101" s="297" t="s">
        <v>2078</v>
      </c>
      <c r="B101" s="346"/>
      <c r="C101" s="347">
        <f>822307786/3</f>
        <v>274102595.33333331</v>
      </c>
      <c r="D101" s="347">
        <f t="shared" si="50"/>
        <v>199415186.33333334</v>
      </c>
      <c r="E101" s="347">
        <f t="shared" si="50"/>
        <v>199415186.33333334</v>
      </c>
      <c r="F101" s="347">
        <f>589073639/3</f>
        <v>196357879.66666666</v>
      </c>
      <c r="G101" s="348">
        <v>0</v>
      </c>
      <c r="H101" s="348">
        <v>0</v>
      </c>
      <c r="I101" s="348">
        <v>0</v>
      </c>
      <c r="J101" s="348">
        <v>0</v>
      </c>
      <c r="K101" s="348">
        <v>0</v>
      </c>
      <c r="L101" s="348">
        <v>0</v>
      </c>
      <c r="M101" s="348">
        <v>0</v>
      </c>
      <c r="N101" s="348">
        <v>0</v>
      </c>
      <c r="O101" s="348">
        <v>0</v>
      </c>
      <c r="P101" s="348">
        <v>0</v>
      </c>
      <c r="Q101" s="348">
        <v>0</v>
      </c>
      <c r="R101" s="348">
        <v>0</v>
      </c>
      <c r="S101" s="348">
        <v>0</v>
      </c>
      <c r="T101" s="348">
        <v>0</v>
      </c>
      <c r="U101" s="348">
        <v>0</v>
      </c>
      <c r="V101" s="348">
        <v>0</v>
      </c>
      <c r="W101" s="348">
        <v>0</v>
      </c>
      <c r="X101" s="348">
        <v>0</v>
      </c>
      <c r="Y101" s="348">
        <v>0</v>
      </c>
      <c r="Z101" s="348">
        <v>0</v>
      </c>
      <c r="AA101" s="348">
        <v>0</v>
      </c>
      <c r="AB101" s="348">
        <v>0</v>
      </c>
      <c r="AC101" s="348">
        <v>0</v>
      </c>
      <c r="AD101" s="348">
        <v>0</v>
      </c>
      <c r="AE101" s="348">
        <v>0</v>
      </c>
      <c r="AF101" s="348">
        <v>0</v>
      </c>
      <c r="AG101" s="348">
        <v>0</v>
      </c>
      <c r="AH101" s="348">
        <v>0</v>
      </c>
      <c r="AI101" s="348">
        <v>0</v>
      </c>
      <c r="AJ101" s="348">
        <v>0</v>
      </c>
      <c r="AK101" s="348">
        <v>0</v>
      </c>
      <c r="AL101" s="348">
        <v>0</v>
      </c>
      <c r="AM101" s="348">
        <v>0</v>
      </c>
      <c r="AN101" s="348">
        <v>0</v>
      </c>
      <c r="AO101" s="348">
        <v>0</v>
      </c>
      <c r="AP101" s="348">
        <v>0</v>
      </c>
      <c r="AQ101" s="348">
        <v>0</v>
      </c>
      <c r="AR101" s="348">
        <v>0</v>
      </c>
      <c r="AS101" s="348">
        <v>0</v>
      </c>
      <c r="AT101" s="348">
        <v>0</v>
      </c>
      <c r="AU101" s="348">
        <v>0</v>
      </c>
      <c r="AV101" s="348">
        <v>0</v>
      </c>
      <c r="AW101" s="348">
        <v>0</v>
      </c>
      <c r="AX101" s="348">
        <v>0</v>
      </c>
      <c r="AY101" s="348">
        <v>0</v>
      </c>
      <c r="AZ101" s="348">
        <v>0</v>
      </c>
      <c r="BA101" s="348">
        <v>0</v>
      </c>
      <c r="BB101" s="348">
        <v>0</v>
      </c>
      <c r="BC101" s="348">
        <v>0</v>
      </c>
      <c r="BD101" s="348">
        <v>0</v>
      </c>
      <c r="BE101" s="348">
        <v>0</v>
      </c>
      <c r="BF101" s="348">
        <v>0</v>
      </c>
      <c r="BG101" s="347">
        <f t="shared" si="33"/>
        <v>274102595.33333331</v>
      </c>
      <c r="BH101" s="347">
        <f t="shared" si="33"/>
        <v>199415186.33333334</v>
      </c>
      <c r="BI101" s="347">
        <f t="shared" si="33"/>
        <v>199415186.33333334</v>
      </c>
      <c r="BJ101" s="347">
        <f t="shared" si="33"/>
        <v>196357879.66666666</v>
      </c>
      <c r="BK101" s="287"/>
    </row>
    <row r="102" spans="1:64" ht="45.75" customHeight="1" x14ac:dyDescent="0.2">
      <c r="A102" s="297" t="s">
        <v>2079</v>
      </c>
      <c r="B102" s="349"/>
      <c r="C102" s="347">
        <f>822307786/3</f>
        <v>274102595.33333331</v>
      </c>
      <c r="D102" s="347">
        <f t="shared" si="50"/>
        <v>199415186.33333334</v>
      </c>
      <c r="E102" s="347">
        <f t="shared" si="50"/>
        <v>199415186.33333334</v>
      </c>
      <c r="F102" s="347">
        <f>589073639/3</f>
        <v>196357879.66666666</v>
      </c>
      <c r="G102" s="348">
        <v>0</v>
      </c>
      <c r="H102" s="348">
        <v>0</v>
      </c>
      <c r="I102" s="348">
        <v>0</v>
      </c>
      <c r="J102" s="348">
        <v>0</v>
      </c>
      <c r="K102" s="348">
        <v>0</v>
      </c>
      <c r="L102" s="348">
        <v>0</v>
      </c>
      <c r="M102" s="348">
        <v>0</v>
      </c>
      <c r="N102" s="348">
        <v>0</v>
      </c>
      <c r="O102" s="348">
        <v>0</v>
      </c>
      <c r="P102" s="348">
        <v>0</v>
      </c>
      <c r="Q102" s="348">
        <v>0</v>
      </c>
      <c r="R102" s="348">
        <v>0</v>
      </c>
      <c r="S102" s="348">
        <v>0</v>
      </c>
      <c r="T102" s="348">
        <v>0</v>
      </c>
      <c r="U102" s="348">
        <v>0</v>
      </c>
      <c r="V102" s="348">
        <v>0</v>
      </c>
      <c r="W102" s="348">
        <v>0</v>
      </c>
      <c r="X102" s="348">
        <v>0</v>
      </c>
      <c r="Y102" s="348">
        <v>0</v>
      </c>
      <c r="Z102" s="348">
        <v>0</v>
      </c>
      <c r="AA102" s="348">
        <v>0</v>
      </c>
      <c r="AB102" s="348">
        <v>0</v>
      </c>
      <c r="AC102" s="348">
        <v>0</v>
      </c>
      <c r="AD102" s="348">
        <v>0</v>
      </c>
      <c r="AE102" s="348">
        <v>0</v>
      </c>
      <c r="AF102" s="348">
        <v>0</v>
      </c>
      <c r="AG102" s="348">
        <v>0</v>
      </c>
      <c r="AH102" s="348">
        <v>0</v>
      </c>
      <c r="AI102" s="348">
        <v>0</v>
      </c>
      <c r="AJ102" s="348">
        <v>0</v>
      </c>
      <c r="AK102" s="348">
        <v>0</v>
      </c>
      <c r="AL102" s="348">
        <v>0</v>
      </c>
      <c r="AM102" s="348">
        <v>0</v>
      </c>
      <c r="AN102" s="348">
        <v>0</v>
      </c>
      <c r="AO102" s="348">
        <v>0</v>
      </c>
      <c r="AP102" s="348">
        <v>0</v>
      </c>
      <c r="AQ102" s="348">
        <v>0</v>
      </c>
      <c r="AR102" s="348">
        <v>0</v>
      </c>
      <c r="AS102" s="348">
        <v>0</v>
      </c>
      <c r="AT102" s="348">
        <v>0</v>
      </c>
      <c r="AU102" s="348">
        <v>0</v>
      </c>
      <c r="AV102" s="348">
        <v>0</v>
      </c>
      <c r="AW102" s="348">
        <v>0</v>
      </c>
      <c r="AX102" s="348">
        <v>0</v>
      </c>
      <c r="AY102" s="348">
        <v>0</v>
      </c>
      <c r="AZ102" s="348">
        <v>0</v>
      </c>
      <c r="BA102" s="348">
        <v>0</v>
      </c>
      <c r="BB102" s="348">
        <v>0</v>
      </c>
      <c r="BC102" s="348">
        <v>0</v>
      </c>
      <c r="BD102" s="348">
        <v>0</v>
      </c>
      <c r="BE102" s="348">
        <v>0</v>
      </c>
      <c r="BF102" s="348">
        <v>0</v>
      </c>
      <c r="BG102" s="347">
        <f t="shared" si="33"/>
        <v>274102595.33333331</v>
      </c>
      <c r="BH102" s="347">
        <f t="shared" si="33"/>
        <v>199415186.33333334</v>
      </c>
      <c r="BI102" s="347">
        <f t="shared" si="33"/>
        <v>199415186.33333334</v>
      </c>
      <c r="BJ102" s="347">
        <f t="shared" si="33"/>
        <v>196357879.66666666</v>
      </c>
      <c r="BK102" s="302">
        <f>+SUM(BG100:BG102)-B100</f>
        <v>0</v>
      </c>
    </row>
    <row r="103" spans="1:64" ht="45.75" customHeight="1" x14ac:dyDescent="0.2">
      <c r="A103" s="316" t="s">
        <v>2080</v>
      </c>
      <c r="B103" s="356">
        <f>+B3+B22+B51+B66</f>
        <v>100248800161.62</v>
      </c>
      <c r="C103" s="356">
        <f>+C3+C22+C51+C66</f>
        <v>13398171153</v>
      </c>
      <c r="D103" s="356">
        <f t="shared" ref="D103:BF103" si="51">+D3+D22+D51+D66</f>
        <v>12503885787.869999</v>
      </c>
      <c r="E103" s="356">
        <f t="shared" si="51"/>
        <v>12250260282.59</v>
      </c>
      <c r="F103" s="356">
        <f t="shared" si="51"/>
        <v>10620176582.769999</v>
      </c>
      <c r="G103" s="342">
        <f t="shared" si="51"/>
        <v>800000000</v>
      </c>
      <c r="H103" s="342">
        <f t="shared" si="51"/>
        <v>624652678</v>
      </c>
      <c r="I103" s="342">
        <f t="shared" si="51"/>
        <v>624652678</v>
      </c>
      <c r="J103" s="342">
        <f t="shared" si="51"/>
        <v>622591390</v>
      </c>
      <c r="K103" s="356">
        <f t="shared" si="51"/>
        <v>166034934.56</v>
      </c>
      <c r="L103" s="356">
        <f t="shared" si="51"/>
        <v>116785881</v>
      </c>
      <c r="M103" s="356">
        <f t="shared" si="51"/>
        <v>116785881</v>
      </c>
      <c r="N103" s="356">
        <f t="shared" si="51"/>
        <v>114647913</v>
      </c>
      <c r="O103" s="342">
        <f t="shared" si="51"/>
        <v>960701165.9000001</v>
      </c>
      <c r="P103" s="342">
        <f t="shared" si="51"/>
        <v>960701165.9000001</v>
      </c>
      <c r="Q103" s="342">
        <f t="shared" si="51"/>
        <v>110701165.90000001</v>
      </c>
      <c r="R103" s="342">
        <f t="shared" si="51"/>
        <v>110701165.90000001</v>
      </c>
      <c r="S103" s="342">
        <f t="shared" si="51"/>
        <v>567855028.44000018</v>
      </c>
      <c r="T103" s="342">
        <f t="shared" si="51"/>
        <v>538903437.43999982</v>
      </c>
      <c r="U103" s="342">
        <f t="shared" si="51"/>
        <v>538903437.43999982</v>
      </c>
      <c r="V103" s="342">
        <f t="shared" si="51"/>
        <v>538903437.43999982</v>
      </c>
      <c r="W103" s="342">
        <f t="shared" si="51"/>
        <v>79481523474.099991</v>
      </c>
      <c r="X103" s="342">
        <f t="shared" si="51"/>
        <v>79420471655.019989</v>
      </c>
      <c r="Y103" s="342">
        <f t="shared" si="51"/>
        <v>49425935422.029999</v>
      </c>
      <c r="Z103" s="342">
        <f t="shared" si="51"/>
        <v>49425935422.029999</v>
      </c>
      <c r="AA103" s="342">
        <f t="shared" si="51"/>
        <v>1039999999.9999994</v>
      </c>
      <c r="AB103" s="342">
        <f t="shared" si="51"/>
        <v>284870146</v>
      </c>
      <c r="AC103" s="342">
        <f t="shared" si="51"/>
        <v>284870146</v>
      </c>
      <c r="AD103" s="342">
        <f t="shared" si="51"/>
        <v>284870146</v>
      </c>
      <c r="AE103" s="356">
        <f t="shared" si="51"/>
        <v>450731033.30000001</v>
      </c>
      <c r="AF103" s="356">
        <f t="shared" si="51"/>
        <v>374519253</v>
      </c>
      <c r="AG103" s="356">
        <f t="shared" si="51"/>
        <v>97468249</v>
      </c>
      <c r="AH103" s="356">
        <f t="shared" si="51"/>
        <v>82468249</v>
      </c>
      <c r="AI103" s="342">
        <f t="shared" si="51"/>
        <v>0</v>
      </c>
      <c r="AJ103" s="342">
        <f t="shared" si="51"/>
        <v>0</v>
      </c>
      <c r="AK103" s="342">
        <f t="shared" si="51"/>
        <v>0</v>
      </c>
      <c r="AL103" s="342">
        <f t="shared" si="51"/>
        <v>0</v>
      </c>
      <c r="AM103" s="342">
        <f t="shared" si="51"/>
        <v>2793648556</v>
      </c>
      <c r="AN103" s="342">
        <f t="shared" si="51"/>
        <v>2793076754</v>
      </c>
      <c r="AO103" s="342">
        <f t="shared" si="51"/>
        <v>0</v>
      </c>
      <c r="AP103" s="342">
        <f t="shared" si="51"/>
        <v>0</v>
      </c>
      <c r="AQ103" s="342">
        <f t="shared" si="51"/>
        <v>0</v>
      </c>
      <c r="AR103" s="342">
        <f t="shared" si="51"/>
        <v>0</v>
      </c>
      <c r="AS103" s="342">
        <f t="shared" si="51"/>
        <v>0</v>
      </c>
      <c r="AT103" s="342">
        <f t="shared" si="51"/>
        <v>0</v>
      </c>
      <c r="AU103" s="342">
        <f t="shared" si="51"/>
        <v>0</v>
      </c>
      <c r="AV103" s="342">
        <f t="shared" si="51"/>
        <v>0</v>
      </c>
      <c r="AW103" s="342">
        <f t="shared" si="51"/>
        <v>0</v>
      </c>
      <c r="AX103" s="342">
        <f t="shared" si="51"/>
        <v>0</v>
      </c>
      <c r="AY103" s="342">
        <f t="shared" si="51"/>
        <v>410134816.31999999</v>
      </c>
      <c r="AZ103" s="342">
        <f t="shared" si="51"/>
        <v>409193180</v>
      </c>
      <c r="BA103" s="342">
        <f t="shared" si="51"/>
        <v>409193180</v>
      </c>
      <c r="BB103" s="342">
        <f t="shared" si="51"/>
        <v>409193180</v>
      </c>
      <c r="BC103" s="342">
        <f t="shared" si="51"/>
        <v>180000000</v>
      </c>
      <c r="BD103" s="342">
        <f t="shared" si="51"/>
        <v>180000000</v>
      </c>
      <c r="BE103" s="342">
        <f t="shared" si="51"/>
        <v>180000000</v>
      </c>
      <c r="BF103" s="342">
        <f t="shared" si="51"/>
        <v>177948611</v>
      </c>
      <c r="BG103" s="342">
        <f t="shared" ref="BG103:BJ103" si="52">+C103+G103+K103+O103+S103+W103+AA103+AE103+AI103+AM103+AQ103+AU103+AY103+BC103</f>
        <v>100248800161.62</v>
      </c>
      <c r="BH103" s="342">
        <f t="shared" si="52"/>
        <v>98207059938.22998</v>
      </c>
      <c r="BI103" s="342">
        <f t="shared" si="52"/>
        <v>64038770441.959999</v>
      </c>
      <c r="BJ103" s="342">
        <f t="shared" si="52"/>
        <v>62387436097.139999</v>
      </c>
      <c r="BK103" s="357">
        <f>+SUM(BG103-B103)</f>
        <v>0</v>
      </c>
    </row>
    <row r="104" spans="1:64" ht="45.75" customHeight="1" x14ac:dyDescent="0.2">
      <c r="A104" s="319"/>
      <c r="B104" s="358"/>
      <c r="C104" s="358"/>
      <c r="D104" s="358"/>
      <c r="E104" s="358"/>
      <c r="F104" s="358"/>
      <c r="G104" s="358"/>
      <c r="H104" s="358"/>
      <c r="I104" s="358"/>
      <c r="J104" s="358"/>
      <c r="K104" s="358"/>
      <c r="L104" s="358"/>
      <c r="M104" s="358"/>
      <c r="N104" s="358"/>
      <c r="O104" s="358"/>
      <c r="P104" s="358"/>
      <c r="Q104" s="358"/>
      <c r="R104" s="358"/>
      <c r="S104" s="358"/>
      <c r="T104" s="358"/>
      <c r="U104" s="358"/>
      <c r="V104" s="358"/>
      <c r="W104" s="358"/>
      <c r="X104" s="358"/>
      <c r="Y104" s="358"/>
      <c r="Z104" s="358"/>
      <c r="AA104" s="358"/>
      <c r="AB104" s="358"/>
      <c r="AC104" s="358"/>
      <c r="AD104" s="358"/>
      <c r="AE104" s="358"/>
      <c r="AF104" s="358"/>
      <c r="AG104" s="358"/>
      <c r="AH104" s="358"/>
      <c r="AI104" s="358"/>
      <c r="AJ104" s="358"/>
      <c r="AK104" s="358"/>
      <c r="AL104" s="358"/>
      <c r="AM104" s="358"/>
      <c r="AN104" s="358"/>
      <c r="AO104" s="358"/>
      <c r="AP104" s="358"/>
      <c r="AQ104" s="358"/>
      <c r="AR104" s="358"/>
      <c r="AS104" s="358"/>
      <c r="AT104" s="358"/>
      <c r="AU104" s="358"/>
      <c r="AV104" s="358"/>
      <c r="AW104" s="358"/>
      <c r="AX104" s="358"/>
      <c r="AY104" s="358"/>
      <c r="AZ104" s="358"/>
      <c r="BA104" s="358"/>
      <c r="BB104" s="358"/>
      <c r="BC104" s="358"/>
      <c r="BD104" s="358"/>
      <c r="BE104" s="358"/>
      <c r="BF104" s="358"/>
      <c r="BG104" s="358"/>
      <c r="BH104" s="358"/>
      <c r="BI104" s="358"/>
      <c r="BJ104" s="358"/>
      <c r="BK104" s="321"/>
    </row>
    <row r="105" spans="1:64" ht="46.5" customHeight="1" x14ac:dyDescent="0.2">
      <c r="A105" s="322"/>
      <c r="B105" s="322"/>
      <c r="C105" s="359"/>
      <c r="D105" s="359"/>
      <c r="E105" s="359"/>
      <c r="F105" s="359"/>
      <c r="G105" s="359"/>
      <c r="H105" s="359"/>
      <c r="I105" s="359"/>
      <c r="J105" s="359"/>
      <c r="K105" s="359"/>
      <c r="L105" s="359"/>
      <c r="M105" s="359"/>
      <c r="N105" s="359"/>
      <c r="O105" s="360"/>
      <c r="P105" s="360"/>
      <c r="Q105" s="359"/>
      <c r="R105" s="360"/>
      <c r="S105" s="360"/>
      <c r="T105" s="360"/>
      <c r="U105" s="359"/>
      <c r="V105" s="359"/>
      <c r="W105" s="359"/>
      <c r="X105" s="361"/>
      <c r="Y105" s="361"/>
      <c r="Z105" s="361"/>
      <c r="AA105" s="359"/>
      <c r="AB105" s="359"/>
      <c r="AC105" s="359"/>
      <c r="AD105" s="359"/>
      <c r="AE105" s="359"/>
      <c r="AF105" s="359"/>
      <c r="AG105" s="359"/>
      <c r="AH105" s="359"/>
      <c r="AI105" s="359"/>
      <c r="AJ105" s="359"/>
      <c r="AK105" s="359"/>
      <c r="AL105" s="359"/>
      <c r="AM105" s="359"/>
      <c r="AN105" s="359"/>
      <c r="AO105" s="359"/>
      <c r="AP105" s="359"/>
      <c r="AQ105" s="359"/>
      <c r="AR105" s="359"/>
      <c r="AS105" s="359"/>
      <c r="AT105" s="359"/>
      <c r="AU105" s="322"/>
      <c r="AV105" s="322"/>
      <c r="AW105" s="322"/>
      <c r="AX105" s="322"/>
      <c r="AY105" s="359"/>
      <c r="AZ105" s="359"/>
      <c r="BA105" s="359"/>
      <c r="BB105" s="359"/>
      <c r="BC105" s="359"/>
      <c r="BD105" s="359"/>
      <c r="BE105" s="359"/>
      <c r="BF105" s="359"/>
      <c r="BG105" s="362"/>
      <c r="BH105" s="362"/>
      <c r="BI105" s="362"/>
      <c r="BJ105" s="362"/>
      <c r="BK105" s="328"/>
    </row>
    <row r="106" spans="1:64" ht="46.5" customHeight="1" x14ac:dyDescent="0.2">
      <c r="A106" s="328"/>
      <c r="B106" s="322"/>
      <c r="C106" s="359"/>
      <c r="D106" s="359"/>
      <c r="E106" s="359"/>
      <c r="F106" s="359"/>
      <c r="G106" s="359"/>
      <c r="H106" s="359"/>
      <c r="I106" s="359"/>
      <c r="J106" s="359"/>
      <c r="K106" s="359"/>
      <c r="L106" s="359"/>
      <c r="M106" s="359"/>
      <c r="N106" s="359"/>
      <c r="O106" s="359"/>
      <c r="P106" s="359"/>
      <c r="Q106" s="359"/>
      <c r="R106" s="359"/>
      <c r="S106" s="359"/>
      <c r="T106" s="359"/>
      <c r="U106" s="359"/>
      <c r="V106" s="359"/>
      <c r="W106" s="359"/>
      <c r="X106" s="359"/>
      <c r="Y106" s="359"/>
      <c r="Z106" s="359"/>
      <c r="AA106" s="359"/>
      <c r="AB106" s="359"/>
      <c r="AC106" s="359"/>
      <c r="AD106" s="359"/>
      <c r="AE106" s="359"/>
      <c r="AF106" s="359"/>
      <c r="AG106" s="359"/>
      <c r="AH106" s="359"/>
      <c r="AI106" s="359"/>
      <c r="AJ106" s="359"/>
      <c r="AK106" s="359"/>
      <c r="AL106" s="359"/>
      <c r="AM106" s="359"/>
      <c r="AN106" s="359"/>
      <c r="AO106" s="359"/>
      <c r="AP106" s="359"/>
      <c r="AQ106" s="359"/>
      <c r="AR106" s="359"/>
      <c r="AS106" s="359"/>
      <c r="AT106" s="359"/>
      <c r="AU106" s="359"/>
      <c r="AV106" s="359"/>
      <c r="AW106" s="359"/>
      <c r="AX106" s="359"/>
      <c r="AY106" s="359"/>
      <c r="AZ106" s="359"/>
      <c r="BA106" s="359"/>
      <c r="BB106" s="359"/>
      <c r="BC106" s="359"/>
      <c r="BD106" s="359"/>
      <c r="BE106" s="359"/>
      <c r="BF106" s="359"/>
      <c r="BG106" s="328"/>
      <c r="BH106" s="328"/>
      <c r="BI106" s="328"/>
      <c r="BJ106" s="328"/>
      <c r="BK106" s="328"/>
    </row>
    <row r="107" spans="1:64" ht="46.5" customHeight="1" x14ac:dyDescent="0.2">
      <c r="A107" s="328"/>
      <c r="B107" s="359"/>
      <c r="C107" s="359"/>
      <c r="D107" s="359"/>
      <c r="E107" s="359"/>
      <c r="F107" s="359"/>
      <c r="G107" s="359"/>
      <c r="H107" s="359"/>
      <c r="I107" s="359"/>
      <c r="J107" s="359"/>
      <c r="K107" s="359"/>
      <c r="L107" s="359"/>
      <c r="M107" s="359"/>
      <c r="N107" s="359"/>
      <c r="O107" s="359"/>
      <c r="P107" s="359"/>
      <c r="Q107" s="359"/>
      <c r="R107" s="359"/>
      <c r="S107" s="359"/>
      <c r="T107" s="359"/>
      <c r="U107" s="359"/>
      <c r="V107" s="359"/>
      <c r="W107" s="359"/>
      <c r="X107" s="359"/>
      <c r="Y107" s="359"/>
      <c r="Z107" s="359"/>
      <c r="AA107" s="359"/>
      <c r="AB107" s="359"/>
      <c r="AC107" s="359"/>
      <c r="AD107" s="359"/>
      <c r="AE107" s="359"/>
      <c r="AF107" s="359"/>
      <c r="AG107" s="359"/>
      <c r="AH107" s="359"/>
      <c r="AI107" s="359"/>
      <c r="AJ107" s="359"/>
      <c r="AK107" s="359"/>
      <c r="AL107" s="359"/>
      <c r="AM107" s="359"/>
      <c r="AN107" s="359"/>
      <c r="AO107" s="359"/>
      <c r="AP107" s="359"/>
      <c r="AQ107" s="359"/>
      <c r="AR107" s="359"/>
      <c r="AS107" s="359"/>
      <c r="AT107" s="359"/>
      <c r="AU107" s="359"/>
      <c r="AV107" s="359"/>
      <c r="AW107" s="359"/>
      <c r="AX107" s="359"/>
      <c r="AY107" s="359"/>
      <c r="AZ107" s="359"/>
      <c r="BA107" s="359"/>
      <c r="BB107" s="359"/>
      <c r="BC107" s="359"/>
      <c r="BD107" s="359"/>
      <c r="BE107" s="359"/>
      <c r="BF107" s="359"/>
      <c r="BG107" s="363"/>
      <c r="BH107" s="363"/>
      <c r="BI107" s="363"/>
      <c r="BJ107" s="363"/>
      <c r="BK107" s="328"/>
    </row>
    <row r="108" spans="1:64" ht="46.5" customHeight="1" x14ac:dyDescent="0.2">
      <c r="A108" s="328"/>
      <c r="B108" s="359"/>
      <c r="C108" s="359"/>
      <c r="D108" s="359"/>
      <c r="E108" s="359"/>
      <c r="F108" s="359"/>
      <c r="G108" s="359"/>
      <c r="H108" s="359"/>
      <c r="I108" s="359"/>
      <c r="J108" s="359"/>
      <c r="K108" s="359"/>
      <c r="L108" s="359"/>
      <c r="M108" s="359"/>
      <c r="N108" s="359"/>
      <c r="O108" s="359"/>
      <c r="P108" s="359"/>
      <c r="Q108" s="359"/>
      <c r="R108" s="359"/>
      <c r="S108" s="359"/>
      <c r="T108" s="359"/>
      <c r="U108" s="359"/>
      <c r="V108" s="359"/>
      <c r="W108" s="359"/>
      <c r="X108" s="359"/>
      <c r="Y108" s="359"/>
      <c r="Z108" s="359"/>
      <c r="AA108" s="359"/>
      <c r="AB108" s="359"/>
      <c r="AC108" s="359"/>
      <c r="AD108" s="359"/>
      <c r="AE108" s="359"/>
      <c r="AF108" s="359"/>
      <c r="AG108" s="359"/>
      <c r="AH108" s="359"/>
      <c r="AI108" s="359"/>
      <c r="AJ108" s="359"/>
      <c r="AK108" s="359"/>
      <c r="AL108" s="359"/>
      <c r="AM108" s="359"/>
      <c r="AN108" s="359"/>
      <c r="AO108" s="359"/>
      <c r="AP108" s="359"/>
      <c r="AQ108" s="359"/>
      <c r="AR108" s="359"/>
      <c r="AS108" s="359"/>
      <c r="AT108" s="359"/>
      <c r="AU108" s="359"/>
      <c r="AV108" s="359"/>
      <c r="AW108" s="359"/>
      <c r="AX108" s="359"/>
      <c r="AY108" s="359"/>
      <c r="AZ108" s="359"/>
      <c r="BA108" s="359"/>
      <c r="BB108" s="359"/>
      <c r="BC108" s="359"/>
      <c r="BD108" s="359"/>
      <c r="BE108" s="359"/>
      <c r="BF108" s="359"/>
      <c r="BG108" s="363"/>
      <c r="BH108" s="363"/>
      <c r="BI108" s="363"/>
      <c r="BJ108" s="363"/>
      <c r="BK108" s="328"/>
    </row>
    <row r="109" spans="1:64" ht="46.5" customHeight="1" x14ac:dyDescent="0.2">
      <c r="A109" s="328"/>
      <c r="B109" s="359"/>
      <c r="C109" s="359"/>
      <c r="D109" s="359"/>
      <c r="E109" s="359"/>
      <c r="F109" s="359"/>
      <c r="G109" s="359"/>
      <c r="H109" s="359"/>
      <c r="I109" s="359"/>
      <c r="J109" s="359"/>
      <c r="K109" s="359"/>
      <c r="L109" s="359"/>
      <c r="M109" s="359"/>
      <c r="N109" s="359"/>
      <c r="O109" s="359"/>
      <c r="P109" s="359"/>
      <c r="Q109" s="359"/>
      <c r="R109" s="359"/>
      <c r="S109" s="359"/>
      <c r="T109" s="359"/>
      <c r="U109" s="359"/>
      <c r="V109" s="359"/>
      <c r="W109" s="359"/>
      <c r="X109" s="359"/>
      <c r="Y109" s="359"/>
      <c r="Z109" s="359"/>
      <c r="AA109" s="359"/>
      <c r="AB109" s="359"/>
      <c r="AC109" s="359"/>
      <c r="AD109" s="359"/>
      <c r="AE109" s="359"/>
      <c r="AF109" s="359"/>
      <c r="AG109" s="359"/>
      <c r="AH109" s="359"/>
      <c r="AI109" s="359"/>
      <c r="AJ109" s="359"/>
      <c r="AK109" s="359"/>
      <c r="AL109" s="359"/>
      <c r="AM109" s="359"/>
      <c r="AN109" s="359"/>
      <c r="AO109" s="359"/>
      <c r="AP109" s="359"/>
      <c r="AQ109" s="359"/>
      <c r="AR109" s="359"/>
      <c r="AS109" s="359"/>
      <c r="AT109" s="359"/>
      <c r="AU109" s="359"/>
      <c r="AV109" s="359"/>
      <c r="AW109" s="359"/>
      <c r="AX109" s="359"/>
      <c r="AY109" s="359"/>
      <c r="AZ109" s="359"/>
      <c r="BA109" s="359"/>
      <c r="BB109" s="359"/>
      <c r="BC109" s="359"/>
      <c r="BD109" s="359"/>
      <c r="BE109" s="359"/>
      <c r="BF109" s="359"/>
      <c r="BG109" s="363"/>
      <c r="BH109" s="363"/>
      <c r="BI109" s="363"/>
      <c r="BJ109" s="363"/>
      <c r="BK109" s="328"/>
    </row>
    <row r="110" spans="1:64" ht="46.5" customHeight="1" x14ac:dyDescent="0.2">
      <c r="A110" s="328"/>
      <c r="B110" s="364"/>
      <c r="C110" s="328"/>
      <c r="D110" s="328"/>
      <c r="E110" s="328"/>
      <c r="F110" s="328"/>
      <c r="G110" s="328"/>
      <c r="H110" s="328"/>
      <c r="I110" s="328"/>
      <c r="J110" s="328"/>
      <c r="K110" s="328"/>
      <c r="L110" s="328"/>
      <c r="M110" s="328"/>
      <c r="N110" s="328"/>
      <c r="O110" s="365"/>
      <c r="P110" s="365"/>
      <c r="Q110" s="328"/>
      <c r="R110" s="365"/>
      <c r="S110" s="366"/>
      <c r="T110" s="365"/>
      <c r="U110" s="328"/>
      <c r="V110" s="328"/>
      <c r="W110" s="328"/>
      <c r="X110" s="328"/>
      <c r="Y110" s="328"/>
      <c r="Z110" s="328"/>
      <c r="AA110" s="328"/>
      <c r="AB110" s="328"/>
      <c r="AC110" s="328"/>
      <c r="AD110" s="328"/>
      <c r="AE110" s="328"/>
      <c r="AF110" s="328"/>
      <c r="AG110" s="328"/>
      <c r="AH110" s="328"/>
      <c r="AI110" s="367"/>
      <c r="AJ110" s="328"/>
      <c r="AK110" s="328"/>
      <c r="AL110" s="328"/>
      <c r="AM110" s="328"/>
      <c r="AN110" s="328"/>
      <c r="AO110" s="328"/>
      <c r="AP110" s="328"/>
      <c r="AQ110" s="328"/>
      <c r="AR110" s="328"/>
      <c r="AS110" s="328"/>
      <c r="AT110" s="328"/>
      <c r="AU110" s="328"/>
      <c r="AV110" s="328"/>
      <c r="AW110" s="328"/>
      <c r="AX110" s="328"/>
      <c r="AY110" s="328"/>
      <c r="AZ110" s="328"/>
      <c r="BA110" s="328"/>
      <c r="BB110" s="328"/>
      <c r="BC110" s="328"/>
      <c r="BD110" s="328"/>
      <c r="BE110" s="328"/>
      <c r="BF110" s="328"/>
      <c r="BG110" s="359"/>
      <c r="BH110" s="359"/>
      <c r="BI110" s="359"/>
      <c r="BJ110" s="359"/>
      <c r="BK110" s="328"/>
    </row>
    <row r="111" spans="1:64" ht="46.5" customHeight="1" x14ac:dyDescent="0.2">
      <c r="A111" s="328"/>
      <c r="B111" s="328"/>
      <c r="C111" s="328"/>
      <c r="D111" s="328"/>
      <c r="E111" s="328"/>
      <c r="F111" s="328"/>
      <c r="G111" s="328"/>
      <c r="H111" s="328"/>
      <c r="I111" s="328"/>
      <c r="J111" s="328"/>
      <c r="K111" s="328"/>
      <c r="L111" s="328"/>
      <c r="M111" s="328"/>
      <c r="N111" s="328"/>
      <c r="O111" s="365"/>
      <c r="P111" s="365"/>
      <c r="Q111" s="328"/>
      <c r="R111" s="365"/>
      <c r="S111" s="365"/>
      <c r="T111" s="365"/>
      <c r="U111" s="328"/>
      <c r="V111" s="328"/>
      <c r="W111" s="328"/>
      <c r="X111" s="328"/>
      <c r="Y111" s="328"/>
      <c r="Z111" s="328"/>
      <c r="AA111" s="328"/>
      <c r="AB111" s="328"/>
      <c r="AC111" s="328"/>
      <c r="AD111" s="328"/>
      <c r="AE111" s="328"/>
      <c r="AF111" s="328"/>
      <c r="AG111" s="328"/>
      <c r="AH111" s="328"/>
      <c r="AI111" s="328"/>
      <c r="AJ111" s="328"/>
      <c r="AK111" s="328"/>
      <c r="AL111" s="328"/>
      <c r="AM111" s="328"/>
      <c r="AN111" s="328"/>
      <c r="AO111" s="328"/>
      <c r="AP111" s="328"/>
      <c r="AQ111" s="328"/>
      <c r="AR111" s="328"/>
      <c r="AS111" s="328"/>
      <c r="AT111" s="328"/>
      <c r="AU111" s="328"/>
      <c r="AV111" s="328"/>
      <c r="AW111" s="328"/>
      <c r="AX111" s="328"/>
      <c r="AY111" s="328"/>
      <c r="AZ111" s="328"/>
      <c r="BA111" s="328"/>
      <c r="BB111" s="328"/>
      <c r="BC111" s="328"/>
      <c r="BD111" s="328"/>
      <c r="BE111" s="328"/>
      <c r="BF111" s="328"/>
      <c r="BG111" s="359"/>
      <c r="BH111" s="359"/>
      <c r="BI111" s="359"/>
      <c r="BJ111" s="359"/>
      <c r="BK111" s="328"/>
    </row>
    <row r="112" spans="1:64" ht="46.5" customHeight="1" x14ac:dyDescent="0.2">
      <c r="A112" s="328"/>
      <c r="B112" s="328"/>
      <c r="C112" s="328"/>
      <c r="D112" s="328"/>
      <c r="E112" s="328"/>
      <c r="F112" s="328"/>
      <c r="G112" s="328"/>
      <c r="H112" s="328"/>
      <c r="I112" s="328"/>
      <c r="J112" s="328"/>
      <c r="K112" s="328"/>
      <c r="L112" s="328"/>
      <c r="M112" s="328"/>
      <c r="N112" s="328"/>
      <c r="O112" s="365"/>
      <c r="P112" s="365"/>
      <c r="Q112" s="328"/>
      <c r="R112" s="365"/>
      <c r="S112" s="365"/>
      <c r="T112" s="365"/>
      <c r="U112" s="328"/>
      <c r="V112" s="328"/>
      <c r="W112" s="328"/>
      <c r="X112" s="328"/>
      <c r="Y112" s="328"/>
      <c r="Z112" s="328"/>
      <c r="AA112" s="328"/>
      <c r="AB112" s="328"/>
      <c r="AC112" s="328"/>
      <c r="AD112" s="328"/>
      <c r="AE112" s="328"/>
      <c r="AF112" s="328"/>
      <c r="AG112" s="328"/>
      <c r="AH112" s="328"/>
      <c r="AI112" s="328"/>
      <c r="AJ112" s="328"/>
      <c r="AK112" s="328"/>
      <c r="AL112" s="328"/>
      <c r="AM112" s="328"/>
      <c r="AN112" s="328"/>
      <c r="AO112" s="328"/>
      <c r="AP112" s="328"/>
      <c r="AQ112" s="328"/>
      <c r="AR112" s="328"/>
      <c r="AS112" s="328"/>
      <c r="AT112" s="328"/>
      <c r="AU112" s="328"/>
      <c r="AV112" s="328"/>
      <c r="AW112" s="328"/>
      <c r="AX112" s="328"/>
      <c r="AY112" s="328"/>
      <c r="AZ112" s="328"/>
      <c r="BA112" s="328"/>
      <c r="BB112" s="328"/>
      <c r="BC112" s="328"/>
      <c r="BD112" s="328"/>
      <c r="BE112" s="328"/>
      <c r="BF112" s="328"/>
      <c r="BG112" s="359"/>
      <c r="BH112" s="328"/>
      <c r="BI112" s="328"/>
      <c r="BJ112" s="328"/>
      <c r="BK112" s="328"/>
    </row>
    <row r="113" spans="1:63" ht="46.5" customHeight="1" x14ac:dyDescent="0.2">
      <c r="A113" s="328"/>
      <c r="B113" s="328"/>
      <c r="C113" s="328"/>
      <c r="D113" s="328"/>
      <c r="E113" s="328"/>
      <c r="F113" s="328"/>
      <c r="G113" s="328"/>
      <c r="H113" s="328"/>
      <c r="I113" s="328"/>
      <c r="J113" s="328"/>
      <c r="K113" s="328"/>
      <c r="L113" s="328"/>
      <c r="M113" s="328"/>
      <c r="N113" s="328"/>
      <c r="O113" s="365"/>
      <c r="P113" s="365"/>
      <c r="Q113" s="328"/>
      <c r="R113" s="365"/>
      <c r="S113" s="365"/>
      <c r="T113" s="365"/>
      <c r="U113" s="328"/>
      <c r="V113" s="328"/>
      <c r="W113" s="328"/>
      <c r="X113" s="328"/>
      <c r="Y113" s="328"/>
      <c r="Z113" s="328"/>
      <c r="AA113" s="328"/>
      <c r="AB113" s="328"/>
      <c r="AC113" s="328"/>
      <c r="AD113" s="328"/>
      <c r="AE113" s="328"/>
      <c r="AF113" s="328"/>
      <c r="AG113" s="328"/>
      <c r="AH113" s="328"/>
      <c r="AI113" s="328"/>
      <c r="AJ113" s="328"/>
      <c r="AK113" s="328"/>
      <c r="AL113" s="328"/>
      <c r="AM113" s="328"/>
      <c r="AN113" s="328"/>
      <c r="AO113" s="328"/>
      <c r="AP113" s="328"/>
      <c r="AQ113" s="328"/>
      <c r="AR113" s="328"/>
      <c r="AS113" s="328"/>
      <c r="AT113" s="328"/>
      <c r="AU113" s="328"/>
      <c r="AV113" s="328"/>
      <c r="AW113" s="328"/>
      <c r="AX113" s="328"/>
      <c r="AY113" s="328"/>
      <c r="AZ113" s="328"/>
      <c r="BA113" s="328"/>
      <c r="BB113" s="328"/>
      <c r="BC113" s="328"/>
      <c r="BD113" s="328"/>
      <c r="BE113" s="328"/>
      <c r="BF113" s="328"/>
      <c r="BG113" s="359"/>
      <c r="BH113" s="328"/>
      <c r="BI113" s="328"/>
      <c r="BJ113" s="328"/>
      <c r="BK113" s="328"/>
    </row>
    <row r="114" spans="1:63" ht="46.5" customHeight="1" x14ac:dyDescent="0.2">
      <c r="A114" s="328"/>
      <c r="B114" s="328"/>
      <c r="C114" s="328"/>
      <c r="D114" s="328"/>
      <c r="E114" s="328"/>
      <c r="F114" s="328"/>
      <c r="G114" s="328"/>
      <c r="H114" s="328"/>
      <c r="I114" s="328"/>
      <c r="J114" s="328"/>
      <c r="K114" s="328"/>
      <c r="L114" s="328"/>
      <c r="M114" s="328"/>
      <c r="N114" s="328"/>
      <c r="O114" s="365"/>
      <c r="P114" s="365"/>
      <c r="Q114" s="328"/>
      <c r="R114" s="365"/>
      <c r="S114" s="365"/>
      <c r="T114" s="365"/>
      <c r="U114" s="328"/>
      <c r="V114" s="328"/>
      <c r="W114" s="328"/>
      <c r="X114" s="328"/>
      <c r="Y114" s="328"/>
      <c r="Z114" s="328"/>
      <c r="AA114" s="328"/>
      <c r="AB114" s="328"/>
      <c r="AC114" s="328"/>
      <c r="AD114" s="328"/>
      <c r="AE114" s="328"/>
      <c r="AF114" s="328"/>
      <c r="AG114" s="328"/>
      <c r="AH114" s="328"/>
      <c r="AI114" s="328"/>
      <c r="AJ114" s="328"/>
      <c r="AK114" s="328"/>
      <c r="AL114" s="328"/>
      <c r="AM114" s="328"/>
      <c r="AN114" s="328"/>
      <c r="AO114" s="328"/>
      <c r="AP114" s="328"/>
      <c r="AQ114" s="328"/>
      <c r="AR114" s="328"/>
      <c r="AS114" s="328"/>
      <c r="AT114" s="328"/>
      <c r="AU114" s="328"/>
      <c r="AV114" s="328"/>
      <c r="AW114" s="328"/>
      <c r="AX114" s="328"/>
      <c r="AY114" s="328"/>
      <c r="AZ114" s="328"/>
      <c r="BA114" s="328"/>
      <c r="BB114" s="328"/>
      <c r="BC114" s="328"/>
      <c r="BD114" s="328"/>
      <c r="BE114" s="328"/>
      <c r="BF114" s="328"/>
      <c r="BG114" s="328"/>
      <c r="BH114" s="328"/>
      <c r="BI114" s="328"/>
      <c r="BJ114" s="328"/>
      <c r="BK114" s="328"/>
    </row>
    <row r="115" spans="1:63" ht="46.5" customHeight="1" x14ac:dyDescent="0.2">
      <c r="A115" s="328"/>
      <c r="B115" s="328"/>
      <c r="C115" s="328"/>
      <c r="D115" s="328"/>
      <c r="E115" s="328"/>
      <c r="F115" s="328"/>
      <c r="G115" s="328"/>
      <c r="H115" s="328"/>
      <c r="I115" s="328"/>
      <c r="J115" s="328"/>
      <c r="K115" s="328"/>
      <c r="L115" s="328"/>
      <c r="M115" s="328"/>
      <c r="N115" s="328"/>
      <c r="O115" s="365"/>
      <c r="P115" s="365"/>
      <c r="Q115" s="328"/>
      <c r="R115" s="365"/>
      <c r="S115" s="365"/>
      <c r="T115" s="365"/>
      <c r="U115" s="328"/>
      <c r="V115" s="328"/>
      <c r="W115" s="328"/>
      <c r="X115" s="328"/>
      <c r="Y115" s="328"/>
      <c r="Z115" s="328"/>
      <c r="AA115" s="328"/>
      <c r="AB115" s="328"/>
      <c r="AC115" s="328"/>
      <c r="AD115" s="328"/>
      <c r="AE115" s="328"/>
      <c r="AF115" s="328"/>
      <c r="AG115" s="328"/>
      <c r="AH115" s="328"/>
      <c r="AI115" s="328"/>
      <c r="AJ115" s="328"/>
      <c r="AK115" s="328"/>
      <c r="AL115" s="328"/>
      <c r="AM115" s="328"/>
      <c r="AN115" s="328"/>
      <c r="AO115" s="328"/>
      <c r="AP115" s="328"/>
      <c r="AQ115" s="328"/>
      <c r="AR115" s="328"/>
      <c r="AS115" s="328"/>
      <c r="AT115" s="328"/>
      <c r="AU115" s="328"/>
      <c r="AV115" s="328"/>
      <c r="AW115" s="328"/>
      <c r="AX115" s="328"/>
      <c r="AY115" s="328"/>
      <c r="AZ115" s="328"/>
      <c r="BA115" s="328"/>
      <c r="BB115" s="328"/>
      <c r="BC115" s="328"/>
      <c r="BD115" s="328"/>
      <c r="BE115" s="328"/>
      <c r="BF115" s="328"/>
      <c r="BG115" s="328"/>
      <c r="BH115" s="328"/>
      <c r="BI115" s="328"/>
      <c r="BJ115" s="328"/>
      <c r="BK115" s="328"/>
    </row>
  </sheetData>
  <mergeCells count="33">
    <mergeCell ref="B84:B93"/>
    <mergeCell ref="B95:B98"/>
    <mergeCell ref="B100:B102"/>
    <mergeCell ref="B54:B56"/>
    <mergeCell ref="B58:B62"/>
    <mergeCell ref="B64:B65"/>
    <mergeCell ref="B69:B70"/>
    <mergeCell ref="B72:B74"/>
    <mergeCell ref="B76:B82"/>
    <mergeCell ref="B10:B12"/>
    <mergeCell ref="B15:B16"/>
    <mergeCell ref="B18:B21"/>
    <mergeCell ref="B25:B38"/>
    <mergeCell ref="B43:B46"/>
    <mergeCell ref="B48:B50"/>
    <mergeCell ref="AU1:AX1"/>
    <mergeCell ref="AY1:BB1"/>
    <mergeCell ref="BC1:BF1"/>
    <mergeCell ref="BG1:BJ1"/>
    <mergeCell ref="BK1:BK2"/>
    <mergeCell ref="B6:B8"/>
    <mergeCell ref="W1:Z1"/>
    <mergeCell ref="AA1:AD1"/>
    <mergeCell ref="AE1:AH1"/>
    <mergeCell ref="AI1:AL1"/>
    <mergeCell ref="AM1:AP1"/>
    <mergeCell ref="AQ1:AT1"/>
    <mergeCell ref="A1:A2"/>
    <mergeCell ref="C1:F1"/>
    <mergeCell ref="G1:J1"/>
    <mergeCell ref="K1:N1"/>
    <mergeCell ref="O1:R1"/>
    <mergeCell ref="S1:V1"/>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1E47C-8254-4AA6-8641-65DA139F6D16}">
  <dimension ref="A1:AC1016"/>
  <sheetViews>
    <sheetView topLeftCell="G76" zoomScale="51" zoomScaleNormal="51" workbookViewId="0">
      <selection activeCell="H88" sqref="H88"/>
    </sheetView>
  </sheetViews>
  <sheetFormatPr baseColWidth="10" defaultColWidth="12.625" defaultRowHeight="15" customHeight="1" x14ac:dyDescent="0.25"/>
  <cols>
    <col min="1" max="1" width="135" style="440" bestFit="1" customWidth="1"/>
    <col min="2" max="2" width="55.75" style="440" hidden="1" customWidth="1"/>
    <col min="3" max="6" width="6.5" style="440" hidden="1" customWidth="1"/>
    <col min="7" max="7" width="136.25" style="440" customWidth="1"/>
    <col min="8" max="8" width="43.625" style="440" customWidth="1"/>
    <col min="9" max="9" width="25.375" style="440" customWidth="1"/>
    <col min="10" max="10" width="8.875" style="440" customWidth="1"/>
    <col min="11" max="11" width="10.5" style="440" customWidth="1"/>
    <col min="12" max="12" width="11" style="440" customWidth="1"/>
    <col min="13" max="13" width="8.625" style="440" customWidth="1"/>
    <col min="14" max="14" width="11.75" style="440" customWidth="1"/>
    <col min="15" max="15" width="101.625" style="440" customWidth="1"/>
    <col min="16" max="16" width="37.375" style="440" hidden="1" customWidth="1"/>
    <col min="17" max="17" width="51.875" style="440" hidden="1" customWidth="1"/>
    <col min="18" max="24" width="9.375" style="440" customWidth="1"/>
    <col min="25" max="16384" width="12.625" style="440"/>
  </cols>
  <sheetData>
    <row r="1" spans="1:24" ht="74.25" customHeight="1" thickBot="1" x14ac:dyDescent="0.3">
      <c r="A1" s="437" t="s">
        <v>2092</v>
      </c>
      <c r="B1" s="438"/>
      <c r="C1" s="438"/>
      <c r="D1" s="438"/>
      <c r="E1" s="438"/>
      <c r="F1" s="438"/>
      <c r="G1" s="438"/>
      <c r="H1" s="438"/>
      <c r="I1" s="438"/>
      <c r="J1" s="438"/>
      <c r="K1" s="438"/>
      <c r="L1" s="438"/>
      <c r="M1" s="438"/>
      <c r="N1" s="439"/>
    </row>
    <row r="2" spans="1:24" ht="27.75" customHeight="1" x14ac:dyDescent="0.35">
      <c r="A2" s="441" t="s">
        <v>2093</v>
      </c>
      <c r="B2" s="442"/>
      <c r="C2" s="442"/>
      <c r="D2" s="442"/>
      <c r="E2" s="442"/>
      <c r="F2" s="442"/>
      <c r="G2" s="442"/>
      <c r="H2" s="442"/>
      <c r="I2" s="442"/>
      <c r="J2" s="442"/>
      <c r="K2" s="442"/>
      <c r="L2" s="442"/>
      <c r="M2" s="442"/>
      <c r="N2" s="443"/>
    </row>
    <row r="3" spans="1:24" ht="56.45" customHeight="1" x14ac:dyDescent="0.35">
      <c r="A3" s="444" t="s">
        <v>2094</v>
      </c>
      <c r="B3" s="445" t="s">
        <v>2095</v>
      </c>
      <c r="C3" s="446"/>
      <c r="D3" s="446"/>
      <c r="E3" s="446"/>
      <c r="F3" s="447"/>
      <c r="G3" s="448" t="s">
        <v>2096</v>
      </c>
      <c r="H3" s="448" t="s">
        <v>2097</v>
      </c>
      <c r="I3" s="448" t="s">
        <v>2098</v>
      </c>
      <c r="J3" s="445" t="s">
        <v>2099</v>
      </c>
      <c r="K3" s="446"/>
      <c r="L3" s="446"/>
      <c r="M3" s="446"/>
      <c r="N3" s="449"/>
      <c r="O3" s="450"/>
      <c r="P3" s="450"/>
      <c r="Q3" s="450"/>
      <c r="R3" s="450"/>
      <c r="S3" s="450"/>
      <c r="T3" s="450"/>
      <c r="U3" s="450"/>
      <c r="V3" s="450"/>
      <c r="W3" s="450"/>
      <c r="X3" s="450"/>
    </row>
    <row r="4" spans="1:24" ht="34.9" customHeight="1" x14ac:dyDescent="0.25">
      <c r="A4" s="451"/>
      <c r="B4" s="452" t="s">
        <v>2100</v>
      </c>
      <c r="C4" s="452">
        <v>2024</v>
      </c>
      <c r="D4" s="452">
        <v>2025</v>
      </c>
      <c r="E4" s="452">
        <v>2026</v>
      </c>
      <c r="F4" s="452">
        <v>2027</v>
      </c>
      <c r="G4" s="453"/>
      <c r="H4" s="453"/>
      <c r="I4" s="453"/>
      <c r="J4" s="452">
        <v>2024</v>
      </c>
      <c r="K4" s="452">
        <v>2025</v>
      </c>
      <c r="L4" s="452">
        <v>2026</v>
      </c>
      <c r="M4" s="454">
        <v>2027</v>
      </c>
      <c r="N4" s="455" t="s">
        <v>24</v>
      </c>
      <c r="O4" s="455"/>
      <c r="P4" s="455"/>
      <c r="Q4" s="455"/>
      <c r="R4" s="456"/>
      <c r="S4" s="456"/>
      <c r="T4" s="456"/>
      <c r="U4" s="456"/>
      <c r="V4" s="456"/>
      <c r="W4" s="456"/>
      <c r="X4" s="456"/>
    </row>
    <row r="5" spans="1:24" ht="52.9" customHeight="1" thickBot="1" x14ac:dyDescent="0.3">
      <c r="A5" s="457" t="s">
        <v>25</v>
      </c>
      <c r="B5" s="458">
        <v>20</v>
      </c>
      <c r="C5" s="458"/>
      <c r="D5" s="458"/>
      <c r="E5" s="458"/>
      <c r="F5" s="458"/>
      <c r="G5" s="458"/>
      <c r="H5" s="459"/>
      <c r="I5" s="460"/>
      <c r="J5" s="460"/>
      <c r="K5" s="460"/>
      <c r="L5" s="460"/>
      <c r="M5" s="461"/>
      <c r="N5" s="462"/>
      <c r="O5" s="463"/>
      <c r="P5" s="463"/>
      <c r="Q5" s="463"/>
    </row>
    <row r="6" spans="1:24" ht="53.25" customHeight="1" x14ac:dyDescent="0.25">
      <c r="A6" s="464" t="s">
        <v>26</v>
      </c>
      <c r="B6" s="465">
        <v>50</v>
      </c>
      <c r="C6" s="465"/>
      <c r="D6" s="465"/>
      <c r="E6" s="465"/>
      <c r="F6" s="465"/>
      <c r="G6" s="466"/>
      <c r="H6" s="467"/>
      <c r="I6" s="468"/>
      <c r="J6" s="468"/>
      <c r="K6" s="468"/>
      <c r="L6" s="468"/>
      <c r="M6" s="469"/>
      <c r="N6" s="470"/>
      <c r="O6" s="471" t="s">
        <v>2101</v>
      </c>
      <c r="P6" s="471" t="s">
        <v>2102</v>
      </c>
      <c r="Q6" s="471" t="s">
        <v>2103</v>
      </c>
    </row>
    <row r="7" spans="1:24" ht="162.75" customHeight="1" x14ac:dyDescent="0.4">
      <c r="A7" s="472" t="s">
        <v>27</v>
      </c>
      <c r="B7" s="473">
        <v>40</v>
      </c>
      <c r="C7" s="473">
        <v>5</v>
      </c>
      <c r="D7" s="473">
        <v>15</v>
      </c>
      <c r="E7" s="473">
        <v>10</v>
      </c>
      <c r="F7" s="474">
        <v>10</v>
      </c>
      <c r="G7" s="475" t="s">
        <v>2104</v>
      </c>
      <c r="H7" s="476" t="s">
        <v>31</v>
      </c>
      <c r="I7" s="477" t="s">
        <v>2105</v>
      </c>
      <c r="J7" s="478">
        <v>0</v>
      </c>
      <c r="K7" s="479">
        <v>200</v>
      </c>
      <c r="L7" s="477">
        <v>200</v>
      </c>
      <c r="M7" s="480">
        <v>100</v>
      </c>
      <c r="N7" s="481">
        <f t="shared" ref="N7:N10" si="0">J7+K7+L7+M7</f>
        <v>500</v>
      </c>
      <c r="O7" s="482" t="s">
        <v>2106</v>
      </c>
      <c r="P7" s="482"/>
      <c r="Q7" s="482"/>
      <c r="R7" s="483" t="s">
        <v>2107</v>
      </c>
    </row>
    <row r="8" spans="1:24" ht="113.25" customHeight="1" x14ac:dyDescent="0.25">
      <c r="A8" s="484"/>
      <c r="B8" s="485"/>
      <c r="C8" s="485"/>
      <c r="D8" s="485"/>
      <c r="E8" s="485"/>
      <c r="F8" s="486"/>
      <c r="G8" s="475" t="s">
        <v>42</v>
      </c>
      <c r="H8" s="476" t="s">
        <v>2169</v>
      </c>
      <c r="I8" s="477" t="s">
        <v>43</v>
      </c>
      <c r="J8" s="478">
        <v>1</v>
      </c>
      <c r="K8" s="479">
        <v>1</v>
      </c>
      <c r="L8" s="477">
        <v>1</v>
      </c>
      <c r="M8" s="480">
        <v>1</v>
      </c>
      <c r="N8" s="481">
        <f t="shared" si="0"/>
        <v>4</v>
      </c>
      <c r="O8" s="482" t="s">
        <v>2108</v>
      </c>
      <c r="P8" s="482"/>
      <c r="Q8" s="482"/>
      <c r="R8" s="440" t="s">
        <v>2109</v>
      </c>
    </row>
    <row r="9" spans="1:24" ht="112.5" customHeight="1" x14ac:dyDescent="0.25">
      <c r="A9" s="451"/>
      <c r="B9" s="453"/>
      <c r="C9" s="453"/>
      <c r="D9" s="453"/>
      <c r="E9" s="453"/>
      <c r="F9" s="487"/>
      <c r="G9" s="475" t="s">
        <v>48</v>
      </c>
      <c r="H9" s="476" t="s">
        <v>49</v>
      </c>
      <c r="I9" s="477" t="s">
        <v>43</v>
      </c>
      <c r="J9" s="478">
        <v>40</v>
      </c>
      <c r="K9" s="479">
        <v>70</v>
      </c>
      <c r="L9" s="477">
        <v>70</v>
      </c>
      <c r="M9" s="480">
        <v>70</v>
      </c>
      <c r="N9" s="481">
        <f t="shared" si="0"/>
        <v>250</v>
      </c>
      <c r="O9" s="482" t="s">
        <v>2108</v>
      </c>
      <c r="P9" s="482"/>
      <c r="Q9" s="482"/>
    </row>
    <row r="10" spans="1:24" ht="153.75" customHeight="1" x14ac:dyDescent="0.25">
      <c r="A10" s="488" t="s">
        <v>2110</v>
      </c>
      <c r="B10" s="489">
        <v>60</v>
      </c>
      <c r="C10" s="489">
        <v>10</v>
      </c>
      <c r="D10" s="489">
        <v>20</v>
      </c>
      <c r="E10" s="489">
        <v>15</v>
      </c>
      <c r="F10" s="490">
        <v>15</v>
      </c>
      <c r="G10" s="475" t="s">
        <v>2111</v>
      </c>
      <c r="H10" s="476" t="s">
        <v>56</v>
      </c>
      <c r="I10" s="477" t="s">
        <v>43</v>
      </c>
      <c r="J10" s="478">
        <v>0</v>
      </c>
      <c r="K10" s="479">
        <v>1</v>
      </c>
      <c r="L10" s="477">
        <v>0</v>
      </c>
      <c r="M10" s="480">
        <v>0</v>
      </c>
      <c r="N10" s="481">
        <f t="shared" si="0"/>
        <v>1</v>
      </c>
      <c r="O10" s="482" t="s">
        <v>2108</v>
      </c>
      <c r="P10" s="482"/>
      <c r="Q10" s="482"/>
    </row>
    <row r="11" spans="1:24" ht="155.25" customHeight="1" x14ac:dyDescent="0.25">
      <c r="A11" s="491"/>
      <c r="B11" s="492"/>
      <c r="C11" s="492"/>
      <c r="D11" s="492"/>
      <c r="E11" s="492"/>
      <c r="F11" s="493"/>
      <c r="G11" s="494" t="s">
        <v>60</v>
      </c>
      <c r="H11" s="495" t="s">
        <v>1897</v>
      </c>
      <c r="I11" s="496" t="s">
        <v>2112</v>
      </c>
      <c r="J11" s="497">
        <v>100</v>
      </c>
      <c r="K11" s="498">
        <v>100</v>
      </c>
      <c r="L11" s="499">
        <v>100</v>
      </c>
      <c r="M11" s="500">
        <v>100</v>
      </c>
      <c r="N11" s="501">
        <v>100</v>
      </c>
      <c r="O11" s="482" t="s">
        <v>2108</v>
      </c>
      <c r="P11" s="482"/>
      <c r="Q11" s="482"/>
    </row>
    <row r="12" spans="1:24" ht="232.5" x14ac:dyDescent="0.25">
      <c r="A12" s="451"/>
      <c r="B12" s="453"/>
      <c r="C12" s="453"/>
      <c r="D12" s="453"/>
      <c r="E12" s="453"/>
      <c r="F12" s="487"/>
      <c r="G12" s="475" t="s">
        <v>1880</v>
      </c>
      <c r="H12" s="475" t="s">
        <v>2113</v>
      </c>
      <c r="I12" s="502" t="s">
        <v>2112</v>
      </c>
      <c r="J12" s="503">
        <v>0</v>
      </c>
      <c r="K12" s="504">
        <v>100</v>
      </c>
      <c r="L12" s="505">
        <v>100</v>
      </c>
      <c r="M12" s="505">
        <v>100</v>
      </c>
      <c r="N12" s="506">
        <v>100</v>
      </c>
      <c r="O12" s="482" t="s">
        <v>2114</v>
      </c>
      <c r="P12" s="482"/>
      <c r="Q12" s="482"/>
    </row>
    <row r="13" spans="1:24" ht="46.5" x14ac:dyDescent="0.25">
      <c r="A13" s="464" t="s">
        <v>63</v>
      </c>
      <c r="B13" s="465">
        <v>50</v>
      </c>
      <c r="C13" s="465"/>
      <c r="D13" s="465"/>
      <c r="E13" s="465"/>
      <c r="F13" s="465"/>
      <c r="G13" s="507"/>
      <c r="H13" s="508"/>
      <c r="I13" s="509"/>
      <c r="J13" s="509"/>
      <c r="K13" s="509"/>
      <c r="L13" s="509"/>
      <c r="M13" s="510"/>
      <c r="N13" s="511"/>
      <c r="O13" s="512"/>
      <c r="P13" s="512"/>
      <c r="Q13" s="512"/>
    </row>
    <row r="14" spans="1:24" ht="162.75" x14ac:dyDescent="0.25">
      <c r="A14" s="488" t="s">
        <v>2115</v>
      </c>
      <c r="B14" s="489">
        <v>30</v>
      </c>
      <c r="C14" s="513">
        <v>0</v>
      </c>
      <c r="D14" s="489">
        <v>10</v>
      </c>
      <c r="E14" s="489">
        <v>10</v>
      </c>
      <c r="F14" s="514">
        <v>10</v>
      </c>
      <c r="G14" s="515" t="s">
        <v>67</v>
      </c>
      <c r="H14" s="516" t="s">
        <v>68</v>
      </c>
      <c r="I14" s="477" t="s">
        <v>43</v>
      </c>
      <c r="J14" s="517">
        <v>0</v>
      </c>
      <c r="K14" s="518">
        <v>1</v>
      </c>
      <c r="L14" s="519">
        <v>1</v>
      </c>
      <c r="M14" s="520">
        <v>1</v>
      </c>
      <c r="N14" s="481">
        <f t="shared" ref="N14:N19" si="1">J14+K14+L14+M14</f>
        <v>3</v>
      </c>
      <c r="O14" s="482" t="s">
        <v>2116</v>
      </c>
      <c r="P14" s="482"/>
      <c r="Q14" s="482"/>
    </row>
    <row r="15" spans="1:24" ht="93" x14ac:dyDescent="0.25">
      <c r="A15" s="451"/>
      <c r="B15" s="453"/>
      <c r="C15" s="521"/>
      <c r="D15" s="453"/>
      <c r="E15" s="453"/>
      <c r="F15" s="522"/>
      <c r="G15" s="515" t="s">
        <v>2117</v>
      </c>
      <c r="H15" s="516" t="s">
        <v>73</v>
      </c>
      <c r="I15" s="477" t="s">
        <v>43</v>
      </c>
      <c r="J15" s="517">
        <v>0</v>
      </c>
      <c r="K15" s="518">
        <v>1</v>
      </c>
      <c r="L15" s="519">
        <v>1</v>
      </c>
      <c r="M15" s="520">
        <v>1</v>
      </c>
      <c r="N15" s="481">
        <f t="shared" si="1"/>
        <v>3</v>
      </c>
      <c r="O15" s="482" t="s">
        <v>2116</v>
      </c>
      <c r="P15" s="482"/>
      <c r="Q15" s="482"/>
    </row>
    <row r="16" spans="1:24" ht="93" x14ac:dyDescent="0.25">
      <c r="A16" s="523" t="s">
        <v>77</v>
      </c>
      <c r="B16" s="489">
        <v>70</v>
      </c>
      <c r="C16" s="489">
        <v>10</v>
      </c>
      <c r="D16" s="489">
        <v>20</v>
      </c>
      <c r="E16" s="489">
        <v>20</v>
      </c>
      <c r="F16" s="490">
        <v>20</v>
      </c>
      <c r="G16" s="515" t="s">
        <v>79</v>
      </c>
      <c r="H16" s="516" t="s">
        <v>80</v>
      </c>
      <c r="I16" s="477" t="s">
        <v>43</v>
      </c>
      <c r="J16" s="517">
        <v>0</v>
      </c>
      <c r="K16" s="518">
        <v>1</v>
      </c>
      <c r="L16" s="519">
        <v>1</v>
      </c>
      <c r="M16" s="520">
        <v>1</v>
      </c>
      <c r="N16" s="481">
        <f t="shared" si="1"/>
        <v>3</v>
      </c>
      <c r="O16" s="482" t="s">
        <v>2116</v>
      </c>
      <c r="P16" s="482"/>
      <c r="Q16" s="482"/>
    </row>
    <row r="17" spans="1:29" ht="69.75" x14ac:dyDescent="0.25">
      <c r="A17" s="484"/>
      <c r="B17" s="485"/>
      <c r="C17" s="485"/>
      <c r="D17" s="485"/>
      <c r="E17" s="485"/>
      <c r="F17" s="486"/>
      <c r="G17" s="515" t="s">
        <v>84</v>
      </c>
      <c r="H17" s="516" t="s">
        <v>85</v>
      </c>
      <c r="I17" s="477" t="s">
        <v>43</v>
      </c>
      <c r="J17" s="517">
        <v>0</v>
      </c>
      <c r="K17" s="518">
        <v>400</v>
      </c>
      <c r="L17" s="519">
        <v>100</v>
      </c>
      <c r="M17" s="520">
        <v>100</v>
      </c>
      <c r="N17" s="524">
        <f t="shared" si="1"/>
        <v>600</v>
      </c>
      <c r="O17" s="482" t="s">
        <v>2118</v>
      </c>
      <c r="P17" s="482"/>
      <c r="Q17" s="482"/>
    </row>
    <row r="18" spans="1:29" ht="93" x14ac:dyDescent="0.25">
      <c r="A18" s="484"/>
      <c r="B18" s="485"/>
      <c r="C18" s="485"/>
      <c r="D18" s="485"/>
      <c r="E18" s="485"/>
      <c r="F18" s="486"/>
      <c r="G18" s="515" t="s">
        <v>2119</v>
      </c>
      <c r="H18" s="516" t="s">
        <v>2120</v>
      </c>
      <c r="I18" s="477" t="s">
        <v>43</v>
      </c>
      <c r="J18" s="517">
        <v>1</v>
      </c>
      <c r="K18" s="518">
        <v>1</v>
      </c>
      <c r="L18" s="519">
        <v>1</v>
      </c>
      <c r="M18" s="520">
        <v>1</v>
      </c>
      <c r="N18" s="481">
        <f t="shared" si="1"/>
        <v>4</v>
      </c>
      <c r="O18" s="482" t="s">
        <v>2116</v>
      </c>
      <c r="P18" s="482"/>
      <c r="Q18" s="482"/>
    </row>
    <row r="19" spans="1:29" ht="139.5" x14ac:dyDescent="0.25">
      <c r="A19" s="451"/>
      <c r="B19" s="453"/>
      <c r="C19" s="453"/>
      <c r="D19" s="453"/>
      <c r="E19" s="453"/>
      <c r="F19" s="487"/>
      <c r="G19" s="515" t="s">
        <v>1879</v>
      </c>
      <c r="H19" s="516" t="s">
        <v>88</v>
      </c>
      <c r="I19" s="477" t="s">
        <v>43</v>
      </c>
      <c r="J19" s="517">
        <v>1</v>
      </c>
      <c r="K19" s="518">
        <v>1</v>
      </c>
      <c r="L19" s="519">
        <v>1</v>
      </c>
      <c r="M19" s="520">
        <v>1</v>
      </c>
      <c r="N19" s="481">
        <f t="shared" si="1"/>
        <v>4</v>
      </c>
      <c r="O19" s="482" t="s">
        <v>2116</v>
      </c>
      <c r="P19" s="482"/>
      <c r="Q19" s="482"/>
    </row>
    <row r="20" spans="1:29" ht="93" x14ac:dyDescent="0.25">
      <c r="A20" s="525" t="s">
        <v>2121</v>
      </c>
      <c r="B20" s="458">
        <v>30</v>
      </c>
      <c r="C20" s="526"/>
      <c r="D20" s="458"/>
      <c r="E20" s="458"/>
      <c r="F20" s="458"/>
      <c r="G20" s="527"/>
      <c r="H20" s="459"/>
      <c r="I20" s="460"/>
      <c r="J20" s="528"/>
      <c r="K20" s="528"/>
      <c r="L20" s="528"/>
      <c r="M20" s="529"/>
      <c r="N20" s="530"/>
      <c r="O20" s="531"/>
      <c r="P20" s="531"/>
      <c r="Q20" s="531"/>
      <c r="R20" s="532"/>
      <c r="S20" s="532"/>
      <c r="T20" s="532"/>
      <c r="U20" s="532"/>
      <c r="V20" s="532"/>
      <c r="W20" s="532"/>
      <c r="X20" s="532"/>
    </row>
    <row r="21" spans="1:29" ht="46.5" x14ac:dyDescent="0.25">
      <c r="A21" s="464" t="s">
        <v>92</v>
      </c>
      <c r="B21" s="465">
        <v>50</v>
      </c>
      <c r="C21" s="533"/>
      <c r="D21" s="533"/>
      <c r="E21" s="533"/>
      <c r="F21" s="533"/>
      <c r="G21" s="534"/>
      <c r="H21" s="533"/>
      <c r="I21" s="533"/>
      <c r="J21" s="533"/>
      <c r="K21" s="533"/>
      <c r="L21" s="533"/>
      <c r="M21" s="535"/>
      <c r="N21" s="536"/>
      <c r="O21" s="537"/>
      <c r="P21" s="537"/>
      <c r="Q21" s="537"/>
    </row>
    <row r="22" spans="1:29" ht="93" x14ac:dyDescent="0.25">
      <c r="A22" s="523" t="s">
        <v>2122</v>
      </c>
      <c r="B22" s="489">
        <v>60</v>
      </c>
      <c r="C22" s="489">
        <v>5</v>
      </c>
      <c r="D22" s="489">
        <v>15</v>
      </c>
      <c r="E22" s="489">
        <v>20</v>
      </c>
      <c r="F22" s="538">
        <v>20</v>
      </c>
      <c r="G22" s="515" t="s">
        <v>1898</v>
      </c>
      <c r="H22" s="516" t="s">
        <v>1934</v>
      </c>
      <c r="I22" s="539" t="s">
        <v>2112</v>
      </c>
      <c r="J22" s="517">
        <v>0</v>
      </c>
      <c r="K22" s="518">
        <v>25</v>
      </c>
      <c r="L22" s="519">
        <v>50</v>
      </c>
      <c r="M22" s="520">
        <v>25</v>
      </c>
      <c r="N22" s="481">
        <f t="shared" ref="N22:N36" si="2">J22+K22+L22+M22</f>
        <v>100</v>
      </c>
      <c r="O22" s="482" t="s">
        <v>2116</v>
      </c>
      <c r="P22" s="482"/>
      <c r="Q22" s="482"/>
      <c r="AB22" s="540"/>
      <c r="AC22" s="541"/>
    </row>
    <row r="23" spans="1:29" ht="46.5" x14ac:dyDescent="0.25">
      <c r="A23" s="542"/>
      <c r="B23" s="492"/>
      <c r="C23" s="492"/>
      <c r="D23" s="492"/>
      <c r="E23" s="492"/>
      <c r="F23" s="543"/>
      <c r="G23" s="515" t="s">
        <v>1899</v>
      </c>
      <c r="H23" s="516" t="s">
        <v>1916</v>
      </c>
      <c r="I23" s="539" t="s">
        <v>43</v>
      </c>
      <c r="J23" s="517">
        <v>1</v>
      </c>
      <c r="K23" s="518">
        <v>2</v>
      </c>
      <c r="L23" s="519">
        <v>2</v>
      </c>
      <c r="M23" s="520">
        <v>2</v>
      </c>
      <c r="N23" s="481">
        <f t="shared" si="2"/>
        <v>7</v>
      </c>
      <c r="O23" s="482" t="s">
        <v>2116</v>
      </c>
      <c r="P23" s="482"/>
      <c r="Q23" s="482"/>
    </row>
    <row r="24" spans="1:29" ht="93" x14ac:dyDescent="0.25">
      <c r="A24" s="542"/>
      <c r="B24" s="492"/>
      <c r="C24" s="492"/>
      <c r="D24" s="492"/>
      <c r="E24" s="492"/>
      <c r="F24" s="543"/>
      <c r="G24" s="515" t="s">
        <v>1900</v>
      </c>
      <c r="H24" s="516" t="s">
        <v>1917</v>
      </c>
      <c r="I24" s="539" t="s">
        <v>43</v>
      </c>
      <c r="J24" s="517">
        <v>1</v>
      </c>
      <c r="K24" s="518">
        <v>1</v>
      </c>
      <c r="L24" s="519">
        <v>1</v>
      </c>
      <c r="M24" s="520">
        <v>1</v>
      </c>
      <c r="N24" s="481">
        <f t="shared" si="2"/>
        <v>4</v>
      </c>
      <c r="O24" s="482" t="s">
        <v>2123</v>
      </c>
      <c r="P24" s="482"/>
      <c r="Q24" s="482"/>
    </row>
    <row r="25" spans="1:29" ht="46.5" x14ac:dyDescent="0.25">
      <c r="A25" s="542"/>
      <c r="B25" s="492"/>
      <c r="C25" s="492"/>
      <c r="D25" s="492"/>
      <c r="E25" s="492"/>
      <c r="F25" s="543"/>
      <c r="G25" s="515" t="s">
        <v>2124</v>
      </c>
      <c r="H25" s="516" t="s">
        <v>2125</v>
      </c>
      <c r="I25" s="539" t="s">
        <v>2112</v>
      </c>
      <c r="J25" s="517">
        <v>0</v>
      </c>
      <c r="K25" s="518">
        <v>50</v>
      </c>
      <c r="L25" s="519">
        <v>100</v>
      </c>
      <c r="M25" s="520">
        <v>50</v>
      </c>
      <c r="N25" s="481">
        <v>100</v>
      </c>
      <c r="O25" s="482" t="s">
        <v>2116</v>
      </c>
      <c r="P25" s="482" t="s">
        <v>2126</v>
      </c>
      <c r="Q25" s="482"/>
    </row>
    <row r="26" spans="1:29" ht="44.25" customHeight="1" x14ac:dyDescent="0.25">
      <c r="A26" s="542"/>
      <c r="B26" s="492"/>
      <c r="C26" s="492"/>
      <c r="D26" s="492"/>
      <c r="E26" s="492"/>
      <c r="F26" s="543"/>
      <c r="G26" s="515" t="s">
        <v>1902</v>
      </c>
      <c r="H26" s="516" t="s">
        <v>1918</v>
      </c>
      <c r="I26" s="539" t="s">
        <v>43</v>
      </c>
      <c r="J26" s="517">
        <v>0</v>
      </c>
      <c r="K26" s="518">
        <v>2</v>
      </c>
      <c r="L26" s="519">
        <v>1</v>
      </c>
      <c r="M26" s="520">
        <v>1</v>
      </c>
      <c r="N26" s="481">
        <f t="shared" si="2"/>
        <v>4</v>
      </c>
      <c r="O26" s="482" t="s">
        <v>2116</v>
      </c>
      <c r="P26" s="482"/>
      <c r="Q26" s="482"/>
    </row>
    <row r="27" spans="1:29" ht="46.5" x14ac:dyDescent="0.25">
      <c r="A27" s="542"/>
      <c r="B27" s="492"/>
      <c r="C27" s="492"/>
      <c r="D27" s="492"/>
      <c r="E27" s="492"/>
      <c r="F27" s="543"/>
      <c r="G27" s="515" t="s">
        <v>1903</v>
      </c>
      <c r="H27" s="516" t="s">
        <v>1919</v>
      </c>
      <c r="I27" s="539" t="s">
        <v>2112</v>
      </c>
      <c r="J27" s="517">
        <v>0</v>
      </c>
      <c r="K27" s="518">
        <v>20</v>
      </c>
      <c r="L27" s="519">
        <v>40</v>
      </c>
      <c r="M27" s="520">
        <v>40</v>
      </c>
      <c r="N27" s="481">
        <f t="shared" si="2"/>
        <v>100</v>
      </c>
      <c r="O27" s="482" t="s">
        <v>2127</v>
      </c>
      <c r="P27" s="482"/>
      <c r="Q27" s="482"/>
    </row>
    <row r="28" spans="1:29" ht="46.5" x14ac:dyDescent="0.25">
      <c r="A28" s="542"/>
      <c r="B28" s="492"/>
      <c r="C28" s="492"/>
      <c r="D28" s="492"/>
      <c r="E28" s="492"/>
      <c r="F28" s="543"/>
      <c r="G28" s="515" t="s">
        <v>1881</v>
      </c>
      <c r="H28" s="516" t="s">
        <v>1920</v>
      </c>
      <c r="I28" s="539" t="s">
        <v>43</v>
      </c>
      <c r="J28" s="517">
        <v>1</v>
      </c>
      <c r="K28" s="518">
        <v>1</v>
      </c>
      <c r="L28" s="519">
        <v>1</v>
      </c>
      <c r="M28" s="520">
        <v>1</v>
      </c>
      <c r="N28" s="481">
        <f t="shared" si="2"/>
        <v>4</v>
      </c>
      <c r="O28" s="482" t="s">
        <v>2127</v>
      </c>
      <c r="P28" s="482"/>
      <c r="Q28" s="482"/>
    </row>
    <row r="29" spans="1:29" ht="46.5" x14ac:dyDescent="0.25">
      <c r="A29" s="542"/>
      <c r="B29" s="492"/>
      <c r="C29" s="492"/>
      <c r="D29" s="492"/>
      <c r="E29" s="492"/>
      <c r="F29" s="543"/>
      <c r="G29" s="515" t="s">
        <v>1882</v>
      </c>
      <c r="H29" s="516" t="s">
        <v>1921</v>
      </c>
      <c r="I29" s="539" t="s">
        <v>43</v>
      </c>
      <c r="J29" s="517">
        <v>0</v>
      </c>
      <c r="K29" s="518">
        <v>1</v>
      </c>
      <c r="L29" s="519">
        <v>1</v>
      </c>
      <c r="M29" s="520">
        <v>1</v>
      </c>
      <c r="N29" s="481">
        <f t="shared" si="2"/>
        <v>3</v>
      </c>
      <c r="O29" s="482" t="s">
        <v>2116</v>
      </c>
      <c r="P29" s="482"/>
      <c r="Q29" s="482"/>
    </row>
    <row r="30" spans="1:29" ht="51.75" customHeight="1" x14ac:dyDescent="0.25">
      <c r="A30" s="542"/>
      <c r="B30" s="492"/>
      <c r="C30" s="492"/>
      <c r="D30" s="492"/>
      <c r="E30" s="492"/>
      <c r="F30" s="543"/>
      <c r="G30" s="515" t="s">
        <v>1883</v>
      </c>
      <c r="H30" s="516" t="s">
        <v>1922</v>
      </c>
      <c r="I30" s="539" t="s">
        <v>2112</v>
      </c>
      <c r="J30" s="517">
        <v>0</v>
      </c>
      <c r="K30" s="518">
        <v>0</v>
      </c>
      <c r="L30" s="519">
        <v>50</v>
      </c>
      <c r="M30" s="520">
        <v>50</v>
      </c>
      <c r="N30" s="481">
        <f t="shared" si="2"/>
        <v>100</v>
      </c>
      <c r="O30" s="482" t="s">
        <v>2116</v>
      </c>
      <c r="P30" s="482"/>
      <c r="Q30" s="482"/>
      <c r="V30" s="541" t="s">
        <v>2128</v>
      </c>
    </row>
    <row r="31" spans="1:29" ht="46.5" x14ac:dyDescent="0.25">
      <c r="A31" s="542"/>
      <c r="B31" s="492"/>
      <c r="C31" s="492"/>
      <c r="D31" s="492"/>
      <c r="E31" s="492"/>
      <c r="F31" s="543"/>
      <c r="G31" s="515" t="s">
        <v>1884</v>
      </c>
      <c r="H31" s="516" t="s">
        <v>1923</v>
      </c>
      <c r="I31" s="539" t="s">
        <v>2112</v>
      </c>
      <c r="J31" s="517">
        <v>100</v>
      </c>
      <c r="K31" s="518">
        <v>100</v>
      </c>
      <c r="L31" s="519">
        <v>100</v>
      </c>
      <c r="M31" s="520">
        <v>100</v>
      </c>
      <c r="N31" s="481">
        <v>100</v>
      </c>
      <c r="O31" s="482" t="s">
        <v>2129</v>
      </c>
      <c r="P31" s="482"/>
      <c r="Q31" s="482"/>
    </row>
    <row r="32" spans="1:29" ht="69.75" x14ac:dyDescent="0.25">
      <c r="A32" s="542"/>
      <c r="B32" s="492"/>
      <c r="C32" s="492"/>
      <c r="D32" s="492"/>
      <c r="E32" s="492"/>
      <c r="F32" s="543"/>
      <c r="G32" s="515" t="s">
        <v>1885</v>
      </c>
      <c r="H32" s="516" t="s">
        <v>1924</v>
      </c>
      <c r="I32" s="539" t="s">
        <v>2112</v>
      </c>
      <c r="J32" s="517">
        <v>100</v>
      </c>
      <c r="K32" s="518">
        <v>100</v>
      </c>
      <c r="L32" s="519">
        <v>100</v>
      </c>
      <c r="M32" s="520">
        <v>100</v>
      </c>
      <c r="N32" s="481">
        <v>100</v>
      </c>
      <c r="O32" s="482" t="s">
        <v>2129</v>
      </c>
      <c r="P32" s="482"/>
      <c r="Q32" s="482"/>
    </row>
    <row r="33" spans="1:17" ht="46.5" x14ac:dyDescent="0.25">
      <c r="A33" s="542"/>
      <c r="B33" s="492"/>
      <c r="C33" s="492"/>
      <c r="D33" s="492"/>
      <c r="E33" s="492"/>
      <c r="F33" s="543"/>
      <c r="G33" s="515" t="s">
        <v>1886</v>
      </c>
      <c r="H33" s="516" t="s">
        <v>2130</v>
      </c>
      <c r="I33" s="539" t="s">
        <v>2112</v>
      </c>
      <c r="J33" s="517">
        <v>100</v>
      </c>
      <c r="K33" s="518">
        <v>100</v>
      </c>
      <c r="L33" s="519">
        <v>100</v>
      </c>
      <c r="M33" s="520">
        <v>100</v>
      </c>
      <c r="N33" s="481">
        <v>100</v>
      </c>
      <c r="O33" s="482" t="s">
        <v>2131</v>
      </c>
      <c r="P33" s="482"/>
      <c r="Q33" s="482"/>
    </row>
    <row r="34" spans="1:17" ht="69.75" x14ac:dyDescent="0.25">
      <c r="A34" s="542"/>
      <c r="B34" s="492"/>
      <c r="C34" s="492"/>
      <c r="D34" s="492"/>
      <c r="E34" s="492"/>
      <c r="F34" s="543"/>
      <c r="G34" s="515" t="s">
        <v>1887</v>
      </c>
      <c r="H34" s="516" t="s">
        <v>1925</v>
      </c>
      <c r="I34" s="539" t="s">
        <v>43</v>
      </c>
      <c r="J34" s="517">
        <v>1</v>
      </c>
      <c r="K34" s="518">
        <v>1</v>
      </c>
      <c r="L34" s="519">
        <v>1</v>
      </c>
      <c r="M34" s="520">
        <v>1</v>
      </c>
      <c r="N34" s="481">
        <f t="shared" si="2"/>
        <v>4</v>
      </c>
      <c r="O34" s="482" t="s">
        <v>2131</v>
      </c>
      <c r="P34" s="482"/>
      <c r="Q34" s="482"/>
    </row>
    <row r="35" spans="1:17" ht="93" x14ac:dyDescent="0.25">
      <c r="A35" s="544"/>
      <c r="B35" s="545"/>
      <c r="C35" s="545"/>
      <c r="D35" s="545"/>
      <c r="E35" s="545"/>
      <c r="F35" s="546"/>
      <c r="G35" s="515" t="s">
        <v>1888</v>
      </c>
      <c r="H35" s="516" t="s">
        <v>1870</v>
      </c>
      <c r="I35" s="539" t="s">
        <v>2112</v>
      </c>
      <c r="J35" s="517">
        <v>100</v>
      </c>
      <c r="K35" s="518">
        <v>100</v>
      </c>
      <c r="L35" s="519">
        <v>100</v>
      </c>
      <c r="M35" s="520">
        <v>100</v>
      </c>
      <c r="N35" s="481">
        <v>100</v>
      </c>
      <c r="O35" s="482" t="s">
        <v>2131</v>
      </c>
      <c r="P35" s="482"/>
      <c r="Q35" s="482"/>
    </row>
    <row r="36" spans="1:17" ht="93" x14ac:dyDescent="0.25">
      <c r="A36" s="547" t="s">
        <v>2132</v>
      </c>
      <c r="B36" s="548">
        <v>40</v>
      </c>
      <c r="C36" s="548">
        <v>15</v>
      </c>
      <c r="D36" s="548">
        <v>15</v>
      </c>
      <c r="E36" s="548">
        <v>5</v>
      </c>
      <c r="F36" s="548">
        <v>5</v>
      </c>
      <c r="G36" s="515" t="s">
        <v>104</v>
      </c>
      <c r="H36" s="549" t="s">
        <v>105</v>
      </c>
      <c r="I36" s="539" t="s">
        <v>43</v>
      </c>
      <c r="J36" s="517">
        <v>1</v>
      </c>
      <c r="K36" s="518">
        <v>1</v>
      </c>
      <c r="L36" s="519">
        <v>1</v>
      </c>
      <c r="M36" s="520">
        <v>1</v>
      </c>
      <c r="N36" s="481">
        <f t="shared" si="2"/>
        <v>4</v>
      </c>
      <c r="O36" s="482" t="s">
        <v>2133</v>
      </c>
      <c r="P36" s="482"/>
      <c r="Q36" s="482"/>
    </row>
    <row r="37" spans="1:17" ht="46.5" x14ac:dyDescent="0.25">
      <c r="A37" s="464" t="s">
        <v>107</v>
      </c>
      <c r="B37" s="465">
        <v>50</v>
      </c>
      <c r="C37" s="533"/>
      <c r="D37" s="533"/>
      <c r="E37" s="533"/>
      <c r="F37" s="533"/>
      <c r="G37" s="533"/>
      <c r="H37" s="533"/>
      <c r="I37" s="533"/>
      <c r="J37" s="533"/>
      <c r="K37" s="533"/>
      <c r="L37" s="533"/>
      <c r="M37" s="535"/>
      <c r="N37" s="536"/>
      <c r="O37" s="537"/>
      <c r="P37" s="537"/>
      <c r="Q37" s="537"/>
    </row>
    <row r="38" spans="1:17" ht="59.25" customHeight="1" x14ac:dyDescent="0.25">
      <c r="A38" s="550" t="s">
        <v>108</v>
      </c>
      <c r="B38" s="489">
        <v>40</v>
      </c>
      <c r="C38" s="489">
        <v>10</v>
      </c>
      <c r="D38" s="489">
        <v>10</v>
      </c>
      <c r="E38" s="489">
        <v>10</v>
      </c>
      <c r="F38" s="538">
        <v>10</v>
      </c>
      <c r="G38" s="515" t="s">
        <v>1891</v>
      </c>
      <c r="H38" s="549" t="s">
        <v>1935</v>
      </c>
      <c r="I38" s="539" t="s">
        <v>2112</v>
      </c>
      <c r="J38" s="517">
        <v>100</v>
      </c>
      <c r="K38" s="518">
        <v>100</v>
      </c>
      <c r="L38" s="519">
        <v>100</v>
      </c>
      <c r="M38" s="520">
        <v>100</v>
      </c>
      <c r="N38" s="481">
        <v>100</v>
      </c>
      <c r="O38" s="482" t="s">
        <v>2134</v>
      </c>
      <c r="P38" s="482"/>
      <c r="Q38" s="482"/>
    </row>
    <row r="39" spans="1:17" ht="69.75" x14ac:dyDescent="0.25">
      <c r="A39" s="551"/>
      <c r="B39" s="492"/>
      <c r="C39" s="492"/>
      <c r="D39" s="492"/>
      <c r="E39" s="492"/>
      <c r="F39" s="543"/>
      <c r="G39" s="515" t="s">
        <v>1889</v>
      </c>
      <c r="H39" s="549" t="s">
        <v>1904</v>
      </c>
      <c r="I39" s="539" t="s">
        <v>2112</v>
      </c>
      <c r="J39" s="517">
        <v>100</v>
      </c>
      <c r="K39" s="518">
        <v>100</v>
      </c>
      <c r="L39" s="519">
        <v>100</v>
      </c>
      <c r="M39" s="520">
        <v>100</v>
      </c>
      <c r="N39" s="481">
        <v>100</v>
      </c>
      <c r="O39" s="482" t="s">
        <v>2134</v>
      </c>
      <c r="P39" s="482"/>
      <c r="Q39" s="482"/>
    </row>
    <row r="40" spans="1:17" ht="78.75" customHeight="1" x14ac:dyDescent="0.25">
      <c r="A40" s="551"/>
      <c r="B40" s="492"/>
      <c r="C40" s="492"/>
      <c r="D40" s="492"/>
      <c r="E40" s="492"/>
      <c r="F40" s="543"/>
      <c r="G40" s="515" t="s">
        <v>1890</v>
      </c>
      <c r="H40" s="549" t="s">
        <v>1905</v>
      </c>
      <c r="I40" s="539" t="s">
        <v>2135</v>
      </c>
      <c r="J40" s="517">
        <v>100</v>
      </c>
      <c r="K40" s="518">
        <v>100</v>
      </c>
      <c r="L40" s="519">
        <v>100</v>
      </c>
      <c r="M40" s="520">
        <v>100</v>
      </c>
      <c r="N40" s="481">
        <v>100</v>
      </c>
      <c r="O40" s="482" t="s">
        <v>2134</v>
      </c>
      <c r="P40" s="482"/>
      <c r="Q40" s="482"/>
    </row>
    <row r="41" spans="1:17" ht="78.75" customHeight="1" x14ac:dyDescent="0.25">
      <c r="A41" s="552"/>
      <c r="B41" s="553"/>
      <c r="C41" s="553"/>
      <c r="D41" s="553"/>
      <c r="E41" s="553"/>
      <c r="F41" s="543"/>
      <c r="G41" s="515" t="s">
        <v>2136</v>
      </c>
      <c r="H41" s="549" t="s">
        <v>1906</v>
      </c>
      <c r="I41" s="539" t="s">
        <v>2112</v>
      </c>
      <c r="J41" s="517">
        <v>0</v>
      </c>
      <c r="K41" s="518">
        <v>100</v>
      </c>
      <c r="L41" s="519">
        <v>100</v>
      </c>
      <c r="M41" s="520">
        <v>100</v>
      </c>
      <c r="N41" s="481">
        <v>100</v>
      </c>
      <c r="O41" s="482" t="s">
        <v>2134</v>
      </c>
      <c r="P41" s="482"/>
      <c r="Q41" s="482"/>
    </row>
    <row r="42" spans="1:17" ht="46.5" x14ac:dyDescent="0.25">
      <c r="A42" s="523" t="s">
        <v>2137</v>
      </c>
      <c r="B42" s="489">
        <v>60</v>
      </c>
      <c r="C42" s="489">
        <v>10</v>
      </c>
      <c r="D42" s="489">
        <v>20</v>
      </c>
      <c r="E42" s="554">
        <v>20</v>
      </c>
      <c r="F42" s="555">
        <v>10</v>
      </c>
      <c r="G42" s="556" t="s">
        <v>1892</v>
      </c>
      <c r="H42" s="549" t="s">
        <v>1907</v>
      </c>
      <c r="I42" s="539" t="s">
        <v>43</v>
      </c>
      <c r="J42" s="517">
        <v>1</v>
      </c>
      <c r="K42" s="518">
        <v>1</v>
      </c>
      <c r="L42" s="519">
        <v>1</v>
      </c>
      <c r="M42" s="520">
        <v>1</v>
      </c>
      <c r="N42" s="481">
        <f t="shared" ref="N42:N44" si="3">J42+K42+L42+M42</f>
        <v>4</v>
      </c>
      <c r="O42" s="482" t="s">
        <v>2127</v>
      </c>
      <c r="P42" s="482"/>
      <c r="Q42" s="482"/>
    </row>
    <row r="43" spans="1:17" ht="46.5" x14ac:dyDescent="0.25">
      <c r="A43" s="542"/>
      <c r="B43" s="492"/>
      <c r="C43" s="492"/>
      <c r="D43" s="492"/>
      <c r="E43" s="557"/>
      <c r="F43" s="555"/>
      <c r="G43" s="556" t="s">
        <v>1893</v>
      </c>
      <c r="H43" s="516" t="s">
        <v>1908</v>
      </c>
      <c r="I43" s="539" t="s">
        <v>43</v>
      </c>
      <c r="J43" s="517">
        <v>0</v>
      </c>
      <c r="K43" s="518">
        <v>1</v>
      </c>
      <c r="L43" s="519">
        <v>1</v>
      </c>
      <c r="M43" s="520">
        <v>1</v>
      </c>
      <c r="N43" s="481">
        <f t="shared" si="3"/>
        <v>3</v>
      </c>
      <c r="O43" s="482" t="s">
        <v>2127</v>
      </c>
      <c r="P43" s="482"/>
      <c r="Q43" s="482"/>
    </row>
    <row r="44" spans="1:17" ht="46.5" x14ac:dyDescent="0.25">
      <c r="A44" s="544"/>
      <c r="B44" s="553"/>
      <c r="C44" s="553"/>
      <c r="D44" s="553"/>
      <c r="E44" s="558"/>
      <c r="F44" s="555"/>
      <c r="G44" s="515" t="s">
        <v>1894</v>
      </c>
      <c r="H44" s="516" t="s">
        <v>1909</v>
      </c>
      <c r="I44" s="539" t="s">
        <v>43</v>
      </c>
      <c r="J44" s="517">
        <v>1</v>
      </c>
      <c r="K44" s="518">
        <v>1</v>
      </c>
      <c r="L44" s="519">
        <v>1</v>
      </c>
      <c r="M44" s="520">
        <v>1</v>
      </c>
      <c r="N44" s="481">
        <f t="shared" si="3"/>
        <v>4</v>
      </c>
      <c r="O44" s="482" t="s">
        <v>2127</v>
      </c>
      <c r="P44" s="482"/>
      <c r="Q44" s="482"/>
    </row>
    <row r="45" spans="1:17" ht="69.75" x14ac:dyDescent="0.25">
      <c r="A45" s="525" t="s">
        <v>2138</v>
      </c>
      <c r="B45" s="458">
        <v>30</v>
      </c>
      <c r="C45" s="559"/>
      <c r="D45" s="559"/>
      <c r="E45" s="559"/>
      <c r="F45" s="560"/>
      <c r="G45" s="560"/>
      <c r="H45" s="559"/>
      <c r="I45" s="559"/>
      <c r="J45" s="559"/>
      <c r="K45" s="559"/>
      <c r="L45" s="559"/>
      <c r="M45" s="561"/>
      <c r="N45" s="562"/>
      <c r="O45" s="563"/>
      <c r="P45" s="563"/>
      <c r="Q45" s="563"/>
    </row>
    <row r="46" spans="1:17" ht="46.5" x14ac:dyDescent="0.25">
      <c r="A46" s="464" t="s">
        <v>116</v>
      </c>
      <c r="B46" s="465">
        <v>100</v>
      </c>
      <c r="C46" s="533"/>
      <c r="D46" s="533"/>
      <c r="E46" s="533"/>
      <c r="F46" s="533"/>
      <c r="G46" s="534"/>
      <c r="H46" s="533"/>
      <c r="I46" s="533"/>
      <c r="J46" s="533"/>
      <c r="K46" s="533"/>
      <c r="L46" s="533"/>
      <c r="M46" s="535"/>
      <c r="N46" s="536"/>
      <c r="O46" s="537"/>
      <c r="P46" s="537"/>
      <c r="Q46" s="537"/>
    </row>
    <row r="47" spans="1:17" ht="69.75" x14ac:dyDescent="0.25">
      <c r="A47" s="550" t="s">
        <v>2139</v>
      </c>
      <c r="B47" s="489">
        <v>20</v>
      </c>
      <c r="C47" s="489">
        <v>5</v>
      </c>
      <c r="D47" s="489">
        <v>5</v>
      </c>
      <c r="E47" s="489">
        <v>5</v>
      </c>
      <c r="F47" s="490">
        <v>5</v>
      </c>
      <c r="G47" s="515" t="s">
        <v>120</v>
      </c>
      <c r="H47" s="516" t="s">
        <v>1926</v>
      </c>
      <c r="I47" s="539" t="s">
        <v>43</v>
      </c>
      <c r="J47" s="517">
        <v>2</v>
      </c>
      <c r="K47" s="518">
        <v>2</v>
      </c>
      <c r="L47" s="519">
        <v>2</v>
      </c>
      <c r="M47" s="520">
        <v>2</v>
      </c>
      <c r="N47" s="481">
        <f t="shared" ref="N47:N57" si="4">J47+K47+L47+M47</f>
        <v>8</v>
      </c>
      <c r="O47" s="482" t="s">
        <v>2140</v>
      </c>
      <c r="P47" s="482"/>
      <c r="Q47" s="482"/>
    </row>
    <row r="48" spans="1:17" ht="46.5" x14ac:dyDescent="0.25">
      <c r="A48" s="484"/>
      <c r="B48" s="485"/>
      <c r="C48" s="485"/>
      <c r="D48" s="485"/>
      <c r="E48" s="485"/>
      <c r="F48" s="486"/>
      <c r="G48" s="515" t="s">
        <v>122</v>
      </c>
      <c r="H48" s="564" t="s">
        <v>123</v>
      </c>
      <c r="I48" s="539" t="s">
        <v>43</v>
      </c>
      <c r="J48" s="517">
        <v>1</v>
      </c>
      <c r="K48" s="518">
        <v>4</v>
      </c>
      <c r="L48" s="519">
        <v>4</v>
      </c>
      <c r="M48" s="520">
        <v>1</v>
      </c>
      <c r="N48" s="481">
        <f t="shared" si="4"/>
        <v>10</v>
      </c>
      <c r="O48" s="482" t="s">
        <v>2140</v>
      </c>
      <c r="P48" s="482"/>
      <c r="Q48" s="482"/>
    </row>
    <row r="49" spans="1:24" ht="46.5" x14ac:dyDescent="0.25">
      <c r="A49" s="451"/>
      <c r="B49" s="453"/>
      <c r="C49" s="453"/>
      <c r="D49" s="453"/>
      <c r="E49" s="453"/>
      <c r="F49" s="487"/>
      <c r="G49" s="515" t="s">
        <v>2141</v>
      </c>
      <c r="H49" s="564" t="s">
        <v>125</v>
      </c>
      <c r="I49" s="539" t="s">
        <v>43</v>
      </c>
      <c r="J49" s="517">
        <v>0</v>
      </c>
      <c r="K49" s="518">
        <v>1</v>
      </c>
      <c r="L49" s="519">
        <v>1</v>
      </c>
      <c r="M49" s="520">
        <v>1</v>
      </c>
      <c r="N49" s="481">
        <f t="shared" si="4"/>
        <v>3</v>
      </c>
      <c r="O49" s="482" t="s">
        <v>2140</v>
      </c>
      <c r="P49" s="482"/>
      <c r="Q49" s="482"/>
    </row>
    <row r="50" spans="1:24" ht="46.5" x14ac:dyDescent="0.25">
      <c r="A50" s="550" t="s">
        <v>2142</v>
      </c>
      <c r="B50" s="489">
        <v>40</v>
      </c>
      <c r="C50" s="489">
        <v>5</v>
      </c>
      <c r="D50" s="489">
        <v>15</v>
      </c>
      <c r="E50" s="489">
        <v>10</v>
      </c>
      <c r="F50" s="490">
        <v>10</v>
      </c>
      <c r="G50" s="515" t="s">
        <v>129</v>
      </c>
      <c r="H50" s="564" t="s">
        <v>1927</v>
      </c>
      <c r="I50" s="539" t="s">
        <v>43</v>
      </c>
      <c r="J50" s="517">
        <v>1</v>
      </c>
      <c r="K50" s="518">
        <v>1</v>
      </c>
      <c r="L50" s="519">
        <v>1</v>
      </c>
      <c r="M50" s="520">
        <v>1</v>
      </c>
      <c r="N50" s="481">
        <f t="shared" si="4"/>
        <v>4</v>
      </c>
      <c r="O50" s="482" t="s">
        <v>2143</v>
      </c>
      <c r="P50" s="482"/>
      <c r="Q50" s="482"/>
    </row>
    <row r="51" spans="1:24" ht="69.75" x14ac:dyDescent="0.25">
      <c r="A51" s="484"/>
      <c r="B51" s="485"/>
      <c r="C51" s="485"/>
      <c r="D51" s="485"/>
      <c r="E51" s="485"/>
      <c r="F51" s="486"/>
      <c r="G51" s="515" t="s">
        <v>2144</v>
      </c>
      <c r="H51" s="564" t="s">
        <v>132</v>
      </c>
      <c r="I51" s="539" t="s">
        <v>2112</v>
      </c>
      <c r="J51" s="517">
        <v>15</v>
      </c>
      <c r="K51" s="518">
        <v>25</v>
      </c>
      <c r="L51" s="519">
        <v>30</v>
      </c>
      <c r="M51" s="520">
        <v>30</v>
      </c>
      <c r="N51" s="481">
        <f t="shared" si="4"/>
        <v>100</v>
      </c>
      <c r="O51" s="482" t="s">
        <v>2140</v>
      </c>
      <c r="P51" s="482"/>
      <c r="Q51" s="482"/>
    </row>
    <row r="52" spans="1:24" ht="46.5" x14ac:dyDescent="0.25">
      <c r="A52" s="484"/>
      <c r="B52" s="485"/>
      <c r="C52" s="485"/>
      <c r="D52" s="485"/>
      <c r="E52" s="485"/>
      <c r="F52" s="486"/>
      <c r="G52" s="515" t="s">
        <v>134</v>
      </c>
      <c r="H52" s="564" t="s">
        <v>135</v>
      </c>
      <c r="I52" s="539" t="s">
        <v>2145</v>
      </c>
      <c r="J52" s="517">
        <v>400</v>
      </c>
      <c r="K52" s="518">
        <v>400</v>
      </c>
      <c r="L52" s="519">
        <v>350</v>
      </c>
      <c r="M52" s="520">
        <v>350</v>
      </c>
      <c r="N52" s="481">
        <f t="shared" si="4"/>
        <v>1500</v>
      </c>
      <c r="O52" s="482" t="s">
        <v>2140</v>
      </c>
      <c r="P52" s="482"/>
      <c r="Q52" s="482"/>
    </row>
    <row r="53" spans="1:24" ht="46.5" x14ac:dyDescent="0.25">
      <c r="A53" s="484"/>
      <c r="B53" s="485"/>
      <c r="C53" s="485"/>
      <c r="D53" s="485"/>
      <c r="E53" s="485"/>
      <c r="F53" s="486"/>
      <c r="G53" s="515" t="s">
        <v>136</v>
      </c>
      <c r="H53" s="564" t="s">
        <v>1928</v>
      </c>
      <c r="I53" s="539" t="s">
        <v>43</v>
      </c>
      <c r="J53" s="517">
        <v>0</v>
      </c>
      <c r="K53" s="518">
        <v>1</v>
      </c>
      <c r="L53" s="519">
        <v>1</v>
      </c>
      <c r="M53" s="520">
        <v>1</v>
      </c>
      <c r="N53" s="481">
        <f t="shared" si="4"/>
        <v>3</v>
      </c>
      <c r="O53" s="482" t="s">
        <v>2146</v>
      </c>
      <c r="P53" s="482"/>
      <c r="Q53" s="482"/>
    </row>
    <row r="54" spans="1:24" ht="46.5" x14ac:dyDescent="0.25">
      <c r="A54" s="451"/>
      <c r="B54" s="453"/>
      <c r="C54" s="453"/>
      <c r="D54" s="453"/>
      <c r="E54" s="453"/>
      <c r="F54" s="486"/>
      <c r="G54" s="515" t="s">
        <v>138</v>
      </c>
      <c r="H54" s="564" t="s">
        <v>1928</v>
      </c>
      <c r="I54" s="539" t="s">
        <v>43</v>
      </c>
      <c r="J54" s="517">
        <v>1</v>
      </c>
      <c r="K54" s="518">
        <v>1</v>
      </c>
      <c r="L54" s="519">
        <v>1</v>
      </c>
      <c r="M54" s="520">
        <v>1</v>
      </c>
      <c r="N54" s="481">
        <f t="shared" si="4"/>
        <v>4</v>
      </c>
      <c r="O54" s="482" t="s">
        <v>2146</v>
      </c>
      <c r="P54" s="482"/>
      <c r="Q54" s="482"/>
    </row>
    <row r="55" spans="1:24" ht="46.5" x14ac:dyDescent="0.25">
      <c r="A55" s="523" t="s">
        <v>1874</v>
      </c>
      <c r="B55" s="489">
        <v>40</v>
      </c>
      <c r="C55" s="489">
        <v>5</v>
      </c>
      <c r="D55" s="489">
        <v>15</v>
      </c>
      <c r="E55" s="490">
        <v>10</v>
      </c>
      <c r="F55" s="565">
        <v>10</v>
      </c>
      <c r="G55" s="556" t="s">
        <v>2147</v>
      </c>
      <c r="H55" s="566" t="s">
        <v>1929</v>
      </c>
      <c r="I55" s="539" t="s">
        <v>43</v>
      </c>
      <c r="J55" s="517">
        <v>0</v>
      </c>
      <c r="K55" s="518">
        <v>1</v>
      </c>
      <c r="L55" s="519">
        <v>1</v>
      </c>
      <c r="M55" s="520">
        <v>1</v>
      </c>
      <c r="N55" s="481">
        <f t="shared" si="4"/>
        <v>3</v>
      </c>
      <c r="O55" s="482" t="s">
        <v>2140</v>
      </c>
      <c r="P55" s="482"/>
      <c r="Q55" s="482"/>
    </row>
    <row r="56" spans="1:24" ht="46.5" x14ac:dyDescent="0.25">
      <c r="A56" s="542"/>
      <c r="B56" s="492"/>
      <c r="C56" s="492"/>
      <c r="D56" s="492"/>
      <c r="E56" s="493"/>
      <c r="F56" s="565"/>
      <c r="G56" s="567" t="s">
        <v>2148</v>
      </c>
      <c r="H56" s="516" t="s">
        <v>1930</v>
      </c>
      <c r="I56" s="539" t="s">
        <v>43</v>
      </c>
      <c r="J56" s="517">
        <v>0</v>
      </c>
      <c r="K56" s="518">
        <v>1</v>
      </c>
      <c r="L56" s="519">
        <v>1</v>
      </c>
      <c r="M56" s="520">
        <v>1</v>
      </c>
      <c r="N56" s="481">
        <f t="shared" si="4"/>
        <v>3</v>
      </c>
      <c r="O56" s="482" t="s">
        <v>2140</v>
      </c>
      <c r="P56" s="482"/>
      <c r="Q56" s="482"/>
    </row>
    <row r="57" spans="1:24" ht="69.75" x14ac:dyDescent="0.25">
      <c r="A57" s="544"/>
      <c r="B57" s="553"/>
      <c r="C57" s="553"/>
      <c r="D57" s="553"/>
      <c r="E57" s="568"/>
      <c r="F57" s="565"/>
      <c r="G57" s="569"/>
      <c r="H57" s="516" t="s">
        <v>1931</v>
      </c>
      <c r="I57" s="539" t="s">
        <v>43</v>
      </c>
      <c r="J57" s="517">
        <v>2</v>
      </c>
      <c r="K57" s="518">
        <v>3</v>
      </c>
      <c r="L57" s="519">
        <v>4</v>
      </c>
      <c r="M57" s="520">
        <v>3</v>
      </c>
      <c r="N57" s="481">
        <f t="shared" si="4"/>
        <v>12</v>
      </c>
      <c r="O57" s="482" t="s">
        <v>2140</v>
      </c>
      <c r="P57" s="482"/>
      <c r="Q57" s="482"/>
    </row>
    <row r="58" spans="1:24" ht="116.25" x14ac:dyDescent="0.25">
      <c r="A58" s="525" t="s">
        <v>2149</v>
      </c>
      <c r="B58" s="458">
        <v>30</v>
      </c>
      <c r="C58" s="559"/>
      <c r="D58" s="559"/>
      <c r="E58" s="559"/>
      <c r="F58" s="560"/>
      <c r="G58" s="560"/>
      <c r="H58" s="559"/>
      <c r="I58" s="559"/>
      <c r="J58" s="559"/>
      <c r="K58" s="559"/>
      <c r="L58" s="559"/>
      <c r="M58" s="561"/>
      <c r="N58" s="562"/>
      <c r="O58" s="563"/>
      <c r="P58" s="563"/>
      <c r="Q58" s="563"/>
    </row>
    <row r="59" spans="1:24" ht="46.5" x14ac:dyDescent="0.25">
      <c r="A59" s="464" t="s">
        <v>143</v>
      </c>
      <c r="B59" s="465">
        <v>100</v>
      </c>
      <c r="C59" s="533"/>
      <c r="D59" s="533"/>
      <c r="E59" s="533"/>
      <c r="F59" s="533"/>
      <c r="G59" s="534"/>
      <c r="H59" s="533"/>
      <c r="I59" s="533"/>
      <c r="J59" s="533"/>
      <c r="K59" s="533"/>
      <c r="L59" s="533"/>
      <c r="M59" s="535"/>
      <c r="N59" s="536"/>
      <c r="O59" s="537"/>
      <c r="P59" s="537"/>
      <c r="Q59" s="537"/>
      <c r="R59" s="570"/>
      <c r="S59" s="570"/>
      <c r="T59" s="570"/>
      <c r="U59" s="570"/>
      <c r="V59" s="570"/>
      <c r="W59" s="570"/>
      <c r="X59" s="570"/>
    </row>
    <row r="60" spans="1:24" ht="102" customHeight="1" x14ac:dyDescent="0.25">
      <c r="A60" s="550" t="s">
        <v>144</v>
      </c>
      <c r="B60" s="489">
        <v>10</v>
      </c>
      <c r="C60" s="489">
        <v>5</v>
      </c>
      <c r="D60" s="489">
        <v>5</v>
      </c>
      <c r="E60" s="489">
        <v>0</v>
      </c>
      <c r="F60" s="490">
        <v>0</v>
      </c>
      <c r="G60" s="515" t="s">
        <v>147</v>
      </c>
      <c r="H60" s="516" t="s">
        <v>2150</v>
      </c>
      <c r="I60" s="539" t="s">
        <v>43</v>
      </c>
      <c r="J60" s="517">
        <v>0</v>
      </c>
      <c r="K60" s="518">
        <v>1</v>
      </c>
      <c r="L60" s="519">
        <v>1</v>
      </c>
      <c r="M60" s="520">
        <v>0</v>
      </c>
      <c r="N60" s="481">
        <f t="shared" ref="N60:N88" si="5">J60+K60+L60+M60</f>
        <v>2</v>
      </c>
      <c r="O60" s="482" t="s">
        <v>2146</v>
      </c>
      <c r="P60" s="482"/>
      <c r="Q60" s="482"/>
    </row>
    <row r="61" spans="1:24" ht="62.25" customHeight="1" x14ac:dyDescent="0.25">
      <c r="A61" s="484"/>
      <c r="B61" s="485"/>
      <c r="C61" s="485"/>
      <c r="D61" s="485"/>
      <c r="E61" s="485"/>
      <c r="F61" s="486"/>
      <c r="G61" s="515" t="s">
        <v>2151</v>
      </c>
      <c r="H61" s="516" t="s">
        <v>149</v>
      </c>
      <c r="I61" s="539" t="s">
        <v>43</v>
      </c>
      <c r="J61" s="517">
        <v>1</v>
      </c>
      <c r="K61" s="518">
        <v>1</v>
      </c>
      <c r="L61" s="519">
        <v>1</v>
      </c>
      <c r="M61" s="520">
        <v>1</v>
      </c>
      <c r="N61" s="481">
        <f t="shared" si="5"/>
        <v>4</v>
      </c>
      <c r="O61" s="482" t="s">
        <v>2146</v>
      </c>
      <c r="P61" s="482"/>
      <c r="Q61" s="482"/>
    </row>
    <row r="62" spans="1:24" ht="116.25" x14ac:dyDescent="0.25">
      <c r="A62" s="523" t="s">
        <v>150</v>
      </c>
      <c r="B62" s="489">
        <v>15</v>
      </c>
      <c r="C62" s="489">
        <v>3</v>
      </c>
      <c r="D62" s="489">
        <v>4</v>
      </c>
      <c r="E62" s="489">
        <v>4</v>
      </c>
      <c r="F62" s="490">
        <v>4</v>
      </c>
      <c r="G62" s="515" t="s">
        <v>152</v>
      </c>
      <c r="H62" s="516" t="s">
        <v>153</v>
      </c>
      <c r="I62" s="539" t="s">
        <v>43</v>
      </c>
      <c r="J62" s="517">
        <v>1</v>
      </c>
      <c r="K62" s="518">
        <v>1</v>
      </c>
      <c r="L62" s="519">
        <v>1</v>
      </c>
      <c r="M62" s="520">
        <v>1</v>
      </c>
      <c r="N62" s="481">
        <f t="shared" si="5"/>
        <v>4</v>
      </c>
      <c r="O62" s="482" t="s">
        <v>2152</v>
      </c>
      <c r="P62" s="482"/>
      <c r="Q62" s="482"/>
    </row>
    <row r="63" spans="1:24" ht="46.5" x14ac:dyDescent="0.25">
      <c r="A63" s="542"/>
      <c r="B63" s="453"/>
      <c r="C63" s="453"/>
      <c r="D63" s="453"/>
      <c r="E63" s="453"/>
      <c r="F63" s="487"/>
      <c r="G63" s="515" t="s">
        <v>1910</v>
      </c>
      <c r="H63" s="516" t="s">
        <v>156</v>
      </c>
      <c r="I63" s="539" t="s">
        <v>43</v>
      </c>
      <c r="J63" s="517">
        <v>1</v>
      </c>
      <c r="K63" s="518">
        <v>1</v>
      </c>
      <c r="L63" s="519">
        <v>1</v>
      </c>
      <c r="M63" s="520">
        <v>1</v>
      </c>
      <c r="N63" s="481">
        <f t="shared" si="5"/>
        <v>4</v>
      </c>
      <c r="O63" s="482" t="s">
        <v>2152</v>
      </c>
      <c r="P63" s="482"/>
      <c r="Q63" s="482"/>
    </row>
    <row r="64" spans="1:24" ht="116.25" x14ac:dyDescent="0.35">
      <c r="A64" s="544"/>
      <c r="B64" s="571"/>
      <c r="C64" s="571"/>
      <c r="D64" s="571"/>
      <c r="E64" s="571"/>
      <c r="F64" s="572"/>
      <c r="G64" s="515" t="s">
        <v>1895</v>
      </c>
      <c r="H64" s="516" t="s">
        <v>1932</v>
      </c>
      <c r="I64" s="539" t="s">
        <v>43</v>
      </c>
      <c r="J64" s="517">
        <v>1</v>
      </c>
      <c r="K64" s="518">
        <v>1</v>
      </c>
      <c r="L64" s="519">
        <v>1</v>
      </c>
      <c r="M64" s="520">
        <v>0</v>
      </c>
      <c r="N64" s="481">
        <f>J64+K64+L64+M64</f>
        <v>3</v>
      </c>
      <c r="O64" s="482" t="s">
        <v>2152</v>
      </c>
      <c r="P64" s="482"/>
      <c r="Q64" s="482"/>
    </row>
    <row r="65" spans="1:17" ht="96.75" customHeight="1" x14ac:dyDescent="0.25">
      <c r="A65" s="550" t="s">
        <v>158</v>
      </c>
      <c r="B65" s="489">
        <v>15</v>
      </c>
      <c r="C65" s="489">
        <v>3</v>
      </c>
      <c r="D65" s="489">
        <v>4</v>
      </c>
      <c r="E65" s="489">
        <v>4</v>
      </c>
      <c r="F65" s="490">
        <v>4</v>
      </c>
      <c r="G65" s="515" t="s">
        <v>160</v>
      </c>
      <c r="H65" s="516" t="s">
        <v>2153</v>
      </c>
      <c r="I65" s="539" t="s">
        <v>43</v>
      </c>
      <c r="J65" s="517">
        <v>0</v>
      </c>
      <c r="K65" s="518">
        <v>1</v>
      </c>
      <c r="L65" s="519">
        <v>1</v>
      </c>
      <c r="M65" s="520">
        <v>1</v>
      </c>
      <c r="N65" s="481">
        <f t="shared" si="5"/>
        <v>3</v>
      </c>
      <c r="O65" s="482" t="s">
        <v>2154</v>
      </c>
      <c r="P65" s="482"/>
      <c r="Q65" s="482"/>
    </row>
    <row r="66" spans="1:17" ht="71.25" customHeight="1" x14ac:dyDescent="0.25">
      <c r="A66" s="484"/>
      <c r="B66" s="485"/>
      <c r="C66" s="485"/>
      <c r="D66" s="485"/>
      <c r="E66" s="485"/>
      <c r="F66" s="486"/>
      <c r="G66" s="515" t="s">
        <v>161</v>
      </c>
      <c r="H66" s="516" t="s">
        <v>162</v>
      </c>
      <c r="I66" s="539" t="s">
        <v>2112</v>
      </c>
      <c r="J66" s="517">
        <v>15</v>
      </c>
      <c r="K66" s="518">
        <v>25</v>
      </c>
      <c r="L66" s="519">
        <v>30</v>
      </c>
      <c r="M66" s="520">
        <v>30</v>
      </c>
      <c r="N66" s="481">
        <f t="shared" si="5"/>
        <v>100</v>
      </c>
      <c r="O66" s="573" t="s">
        <v>2155</v>
      </c>
      <c r="P66" s="573"/>
      <c r="Q66" s="573"/>
    </row>
    <row r="67" spans="1:17" ht="69.75" customHeight="1" x14ac:dyDescent="0.25">
      <c r="A67" s="484"/>
      <c r="B67" s="485"/>
      <c r="C67" s="485"/>
      <c r="D67" s="485"/>
      <c r="E67" s="485"/>
      <c r="F67" s="486"/>
      <c r="G67" s="515" t="s">
        <v>163</v>
      </c>
      <c r="H67" s="516" t="s">
        <v>164</v>
      </c>
      <c r="I67" s="539" t="s">
        <v>2112</v>
      </c>
      <c r="J67" s="517">
        <v>15</v>
      </c>
      <c r="K67" s="518">
        <v>70</v>
      </c>
      <c r="L67" s="519">
        <v>90</v>
      </c>
      <c r="M67" s="520">
        <v>100</v>
      </c>
      <c r="N67" s="481">
        <v>100</v>
      </c>
      <c r="O67" s="482" t="s">
        <v>2134</v>
      </c>
      <c r="P67" s="482"/>
      <c r="Q67" s="482"/>
    </row>
    <row r="68" spans="1:17" ht="57" customHeight="1" x14ac:dyDescent="0.25">
      <c r="A68" s="484"/>
      <c r="B68" s="485"/>
      <c r="C68" s="485"/>
      <c r="D68" s="485"/>
      <c r="E68" s="485"/>
      <c r="F68" s="486"/>
      <c r="G68" s="515" t="s">
        <v>165</v>
      </c>
      <c r="H68" s="516" t="s">
        <v>166</v>
      </c>
      <c r="I68" s="539" t="s">
        <v>2112</v>
      </c>
      <c r="J68" s="517">
        <v>15</v>
      </c>
      <c r="K68" s="518">
        <v>70</v>
      </c>
      <c r="L68" s="519">
        <v>90</v>
      </c>
      <c r="M68" s="520">
        <v>100</v>
      </c>
      <c r="N68" s="481">
        <v>100</v>
      </c>
      <c r="O68" s="573" t="s">
        <v>2156</v>
      </c>
      <c r="P68" s="573"/>
      <c r="Q68" s="573"/>
    </row>
    <row r="69" spans="1:17" ht="46.5" x14ac:dyDescent="0.25">
      <c r="A69" s="484"/>
      <c r="B69" s="485"/>
      <c r="C69" s="485"/>
      <c r="D69" s="485"/>
      <c r="E69" s="485"/>
      <c r="F69" s="486"/>
      <c r="G69" s="515" t="s">
        <v>167</v>
      </c>
      <c r="H69" s="516" t="s">
        <v>168</v>
      </c>
      <c r="I69" s="539" t="s">
        <v>43</v>
      </c>
      <c r="J69" s="517">
        <v>1</v>
      </c>
      <c r="K69" s="518">
        <v>1</v>
      </c>
      <c r="L69" s="519">
        <v>1</v>
      </c>
      <c r="M69" s="520">
        <v>1</v>
      </c>
      <c r="N69" s="481">
        <f t="shared" si="5"/>
        <v>4</v>
      </c>
      <c r="O69" s="482" t="s">
        <v>2134</v>
      </c>
      <c r="P69" s="482"/>
      <c r="Q69" s="482"/>
    </row>
    <row r="70" spans="1:17" ht="46.5" x14ac:dyDescent="0.25">
      <c r="A70" s="484"/>
      <c r="B70" s="485"/>
      <c r="C70" s="485"/>
      <c r="D70" s="485"/>
      <c r="E70" s="485"/>
      <c r="F70" s="486"/>
      <c r="G70" s="515" t="s">
        <v>169</v>
      </c>
      <c r="H70" s="516" t="s">
        <v>166</v>
      </c>
      <c r="I70" s="539" t="s">
        <v>2112</v>
      </c>
      <c r="J70" s="517">
        <v>15</v>
      </c>
      <c r="K70" s="518">
        <v>70</v>
      </c>
      <c r="L70" s="519">
        <v>75</v>
      </c>
      <c r="M70" s="520">
        <v>80</v>
      </c>
      <c r="N70" s="481">
        <v>80</v>
      </c>
      <c r="O70" s="482" t="s">
        <v>2154</v>
      </c>
      <c r="P70" s="482"/>
      <c r="Q70" s="482"/>
    </row>
    <row r="71" spans="1:17" ht="46.5" x14ac:dyDescent="0.25">
      <c r="A71" s="451"/>
      <c r="B71" s="453"/>
      <c r="C71" s="453"/>
      <c r="D71" s="453"/>
      <c r="E71" s="453"/>
      <c r="F71" s="487"/>
      <c r="G71" s="515" t="s">
        <v>170</v>
      </c>
      <c r="H71" s="516" t="s">
        <v>171</v>
      </c>
      <c r="I71" s="539" t="s">
        <v>2112</v>
      </c>
      <c r="J71" s="517">
        <v>15</v>
      </c>
      <c r="K71" s="518">
        <v>25</v>
      </c>
      <c r="L71" s="519">
        <v>30</v>
      </c>
      <c r="M71" s="520">
        <v>30</v>
      </c>
      <c r="N71" s="481">
        <f t="shared" si="5"/>
        <v>100</v>
      </c>
      <c r="O71" s="573" t="s">
        <v>2155</v>
      </c>
      <c r="P71" s="573"/>
      <c r="Q71" s="573"/>
    </row>
    <row r="72" spans="1:17" ht="23.25" x14ac:dyDescent="0.25">
      <c r="A72" s="550" t="s">
        <v>2157</v>
      </c>
      <c r="B72" s="574">
        <v>20</v>
      </c>
      <c r="C72" s="574">
        <v>5</v>
      </c>
      <c r="D72" s="574">
        <v>5</v>
      </c>
      <c r="E72" s="574">
        <v>5</v>
      </c>
      <c r="F72" s="575">
        <v>5</v>
      </c>
      <c r="G72" s="515" t="s">
        <v>175</v>
      </c>
      <c r="H72" s="516" t="s">
        <v>176</v>
      </c>
      <c r="I72" s="539" t="s">
        <v>43</v>
      </c>
      <c r="J72" s="517">
        <v>0</v>
      </c>
      <c r="K72" s="518">
        <v>1</v>
      </c>
      <c r="L72" s="519">
        <v>0</v>
      </c>
      <c r="M72" s="520">
        <v>0</v>
      </c>
      <c r="N72" s="481">
        <f t="shared" si="5"/>
        <v>1</v>
      </c>
      <c r="O72" s="482" t="s">
        <v>2158</v>
      </c>
      <c r="P72" s="482"/>
      <c r="Q72" s="482"/>
    </row>
    <row r="73" spans="1:17" ht="23.25" x14ac:dyDescent="0.25">
      <c r="A73" s="484"/>
      <c r="B73" s="485"/>
      <c r="C73" s="485"/>
      <c r="D73" s="485"/>
      <c r="E73" s="485"/>
      <c r="F73" s="486"/>
      <c r="G73" s="515" t="s">
        <v>178</v>
      </c>
      <c r="H73" s="516" t="s">
        <v>179</v>
      </c>
      <c r="I73" s="539" t="s">
        <v>43</v>
      </c>
      <c r="J73" s="517">
        <v>0</v>
      </c>
      <c r="K73" s="518">
        <v>1</v>
      </c>
      <c r="L73" s="519">
        <v>0</v>
      </c>
      <c r="M73" s="520">
        <v>0</v>
      </c>
      <c r="N73" s="481">
        <f t="shared" si="5"/>
        <v>1</v>
      </c>
      <c r="O73" s="482" t="s">
        <v>2158</v>
      </c>
      <c r="P73" s="482"/>
      <c r="Q73" s="482"/>
    </row>
    <row r="74" spans="1:17" ht="23.25" x14ac:dyDescent="0.25">
      <c r="A74" s="484"/>
      <c r="B74" s="485"/>
      <c r="C74" s="485"/>
      <c r="D74" s="485"/>
      <c r="E74" s="485"/>
      <c r="F74" s="486"/>
      <c r="G74" s="515" t="s">
        <v>181</v>
      </c>
      <c r="H74" s="516" t="s">
        <v>179</v>
      </c>
      <c r="I74" s="539" t="s">
        <v>43</v>
      </c>
      <c r="J74" s="517">
        <v>0</v>
      </c>
      <c r="K74" s="518">
        <v>0</v>
      </c>
      <c r="L74" s="519">
        <v>1</v>
      </c>
      <c r="M74" s="520">
        <v>0</v>
      </c>
      <c r="N74" s="481">
        <f t="shared" si="5"/>
        <v>1</v>
      </c>
      <c r="O74" s="482" t="s">
        <v>2158</v>
      </c>
      <c r="P74" s="482"/>
      <c r="Q74" s="482"/>
    </row>
    <row r="75" spans="1:17" ht="23.25" x14ac:dyDescent="0.25">
      <c r="A75" s="484"/>
      <c r="B75" s="485"/>
      <c r="C75" s="485"/>
      <c r="D75" s="485"/>
      <c r="E75" s="485"/>
      <c r="F75" s="486"/>
      <c r="G75" s="576" t="s">
        <v>182</v>
      </c>
      <c r="H75" s="577" t="s">
        <v>156</v>
      </c>
      <c r="I75" s="578" t="s">
        <v>43</v>
      </c>
      <c r="J75" s="517">
        <v>0</v>
      </c>
      <c r="K75" s="579">
        <v>0</v>
      </c>
      <c r="L75" s="580">
        <v>0</v>
      </c>
      <c r="M75" s="581">
        <v>1</v>
      </c>
      <c r="N75" s="582">
        <f t="shared" si="5"/>
        <v>1</v>
      </c>
      <c r="O75" s="482" t="s">
        <v>2158</v>
      </c>
      <c r="P75" s="482"/>
      <c r="Q75" s="482"/>
    </row>
    <row r="76" spans="1:17" ht="39.75" customHeight="1" x14ac:dyDescent="0.25">
      <c r="A76" s="484"/>
      <c r="B76" s="485"/>
      <c r="C76" s="485"/>
      <c r="D76" s="485"/>
      <c r="E76" s="485"/>
      <c r="F76" s="486"/>
      <c r="G76" s="515" t="s">
        <v>183</v>
      </c>
      <c r="H76" s="516" t="s">
        <v>184</v>
      </c>
      <c r="I76" s="539" t="s">
        <v>43</v>
      </c>
      <c r="J76" s="517">
        <v>1</v>
      </c>
      <c r="K76" s="518">
        <v>1</v>
      </c>
      <c r="L76" s="519">
        <v>1</v>
      </c>
      <c r="M76" s="520">
        <v>1</v>
      </c>
      <c r="N76" s="481">
        <f t="shared" si="5"/>
        <v>4</v>
      </c>
      <c r="O76" s="482" t="s">
        <v>2134</v>
      </c>
      <c r="P76" s="482"/>
      <c r="Q76" s="482"/>
    </row>
    <row r="77" spans="1:17" ht="37.5" customHeight="1" x14ac:dyDescent="0.25">
      <c r="A77" s="484"/>
      <c r="B77" s="485"/>
      <c r="C77" s="485"/>
      <c r="D77" s="485"/>
      <c r="E77" s="485"/>
      <c r="F77" s="486"/>
      <c r="G77" s="515" t="s">
        <v>185</v>
      </c>
      <c r="H77" s="516" t="s">
        <v>2159</v>
      </c>
      <c r="I77" s="539" t="s">
        <v>43</v>
      </c>
      <c r="J77" s="517">
        <v>0</v>
      </c>
      <c r="K77" s="518">
        <v>1</v>
      </c>
      <c r="L77" s="519">
        <v>1</v>
      </c>
      <c r="M77" s="520">
        <v>1</v>
      </c>
      <c r="N77" s="481">
        <f t="shared" si="5"/>
        <v>3</v>
      </c>
      <c r="O77" s="482" t="s">
        <v>2134</v>
      </c>
      <c r="P77" s="482"/>
      <c r="Q77" s="482"/>
    </row>
    <row r="78" spans="1:17" ht="186" x14ac:dyDescent="0.25">
      <c r="A78" s="484"/>
      <c r="B78" s="485"/>
      <c r="C78" s="485"/>
      <c r="D78" s="485"/>
      <c r="E78" s="485"/>
      <c r="F78" s="486"/>
      <c r="G78" s="515" t="s">
        <v>2160</v>
      </c>
      <c r="H78" s="516" t="s">
        <v>2161</v>
      </c>
      <c r="I78" s="539" t="s">
        <v>43</v>
      </c>
      <c r="J78" s="517">
        <v>1</v>
      </c>
      <c r="K78" s="518">
        <v>1</v>
      </c>
      <c r="L78" s="519">
        <v>1</v>
      </c>
      <c r="M78" s="520">
        <v>1</v>
      </c>
      <c r="N78" s="481">
        <f t="shared" si="5"/>
        <v>4</v>
      </c>
      <c r="O78" s="583" t="s">
        <v>2162</v>
      </c>
      <c r="P78" s="583"/>
      <c r="Q78" s="583"/>
    </row>
    <row r="79" spans="1:17" ht="69.75" x14ac:dyDescent="0.25">
      <c r="A79" s="484"/>
      <c r="B79" s="485"/>
      <c r="C79" s="485"/>
      <c r="D79" s="485"/>
      <c r="E79" s="485"/>
      <c r="F79" s="486"/>
      <c r="G79" s="515" t="s">
        <v>1911</v>
      </c>
      <c r="H79" s="516" t="s">
        <v>1912</v>
      </c>
      <c r="I79" s="539" t="s">
        <v>43</v>
      </c>
      <c r="J79" s="517">
        <v>1</v>
      </c>
      <c r="K79" s="518">
        <v>1</v>
      </c>
      <c r="L79" s="519">
        <v>1</v>
      </c>
      <c r="M79" s="520">
        <v>1</v>
      </c>
      <c r="N79" s="481">
        <f t="shared" si="5"/>
        <v>4</v>
      </c>
      <c r="O79" s="573" t="s">
        <v>2155</v>
      </c>
      <c r="P79" s="482"/>
      <c r="Q79" s="573"/>
    </row>
    <row r="80" spans="1:17" ht="46.5" x14ac:dyDescent="0.25">
      <c r="A80" s="484"/>
      <c r="B80" s="485"/>
      <c r="C80" s="485"/>
      <c r="D80" s="485"/>
      <c r="E80" s="485"/>
      <c r="F80" s="486"/>
      <c r="G80" s="515" t="s">
        <v>192</v>
      </c>
      <c r="H80" s="516" t="s">
        <v>193</v>
      </c>
      <c r="I80" s="539" t="s">
        <v>43</v>
      </c>
      <c r="J80" s="517">
        <v>1</v>
      </c>
      <c r="K80" s="518">
        <v>1</v>
      </c>
      <c r="L80" s="519">
        <v>1</v>
      </c>
      <c r="M80" s="520">
        <v>1</v>
      </c>
      <c r="N80" s="481">
        <f t="shared" si="5"/>
        <v>4</v>
      </c>
      <c r="O80" s="482" t="s">
        <v>2134</v>
      </c>
      <c r="P80" s="482"/>
      <c r="Q80" s="482"/>
    </row>
    <row r="81" spans="1:17" ht="46.5" x14ac:dyDescent="0.25">
      <c r="A81" s="484"/>
      <c r="B81" s="485"/>
      <c r="C81" s="485"/>
      <c r="D81" s="485"/>
      <c r="E81" s="485"/>
      <c r="F81" s="486"/>
      <c r="G81" s="515" t="s">
        <v>2163</v>
      </c>
      <c r="H81" s="516" t="s">
        <v>184</v>
      </c>
      <c r="I81" s="539" t="s">
        <v>43</v>
      </c>
      <c r="J81" s="517">
        <v>1</v>
      </c>
      <c r="K81" s="518">
        <v>1</v>
      </c>
      <c r="L81" s="519">
        <v>1</v>
      </c>
      <c r="M81" s="520">
        <v>1</v>
      </c>
      <c r="N81" s="481">
        <f t="shared" si="5"/>
        <v>4</v>
      </c>
      <c r="O81" s="482" t="s">
        <v>2164</v>
      </c>
      <c r="P81" s="482"/>
      <c r="Q81" s="482"/>
    </row>
    <row r="82" spans="1:17" ht="46.5" x14ac:dyDescent="0.25">
      <c r="A82" s="550" t="s">
        <v>2165</v>
      </c>
      <c r="B82" s="489">
        <v>20</v>
      </c>
      <c r="C82" s="489">
        <v>5</v>
      </c>
      <c r="D82" s="489">
        <v>5</v>
      </c>
      <c r="E82" s="489">
        <v>5</v>
      </c>
      <c r="F82" s="490">
        <v>5</v>
      </c>
      <c r="G82" s="515" t="s">
        <v>1913</v>
      </c>
      <c r="H82" s="516" t="s">
        <v>1936</v>
      </c>
      <c r="I82" s="539" t="s">
        <v>43</v>
      </c>
      <c r="J82" s="517">
        <v>1</v>
      </c>
      <c r="K82" s="518">
        <v>1</v>
      </c>
      <c r="L82" s="519">
        <v>1</v>
      </c>
      <c r="M82" s="520">
        <v>1</v>
      </c>
      <c r="N82" s="481">
        <f t="shared" si="5"/>
        <v>4</v>
      </c>
      <c r="O82" s="482" t="s">
        <v>2134</v>
      </c>
      <c r="P82" s="583"/>
      <c r="Q82" s="583"/>
    </row>
    <row r="83" spans="1:17" ht="23.25" x14ac:dyDescent="0.25">
      <c r="A83" s="484"/>
      <c r="B83" s="485"/>
      <c r="C83" s="485"/>
      <c r="D83" s="485"/>
      <c r="E83" s="485"/>
      <c r="F83" s="486"/>
      <c r="G83" s="576" t="s">
        <v>199</v>
      </c>
      <c r="H83" s="577" t="s">
        <v>200</v>
      </c>
      <c r="I83" s="578" t="s">
        <v>43</v>
      </c>
      <c r="J83" s="584">
        <v>3</v>
      </c>
      <c r="K83" s="579">
        <v>6</v>
      </c>
      <c r="L83" s="580">
        <v>6</v>
      </c>
      <c r="M83" s="581">
        <v>5</v>
      </c>
      <c r="N83" s="582">
        <f t="shared" si="5"/>
        <v>20</v>
      </c>
      <c r="O83" s="482" t="s">
        <v>2164</v>
      </c>
      <c r="P83" s="482"/>
      <c r="Q83" s="482"/>
    </row>
    <row r="84" spans="1:17" ht="209.25" x14ac:dyDescent="0.25">
      <c r="A84" s="484"/>
      <c r="B84" s="485"/>
      <c r="C84" s="485"/>
      <c r="D84" s="485"/>
      <c r="E84" s="485"/>
      <c r="F84" s="486"/>
      <c r="G84" s="585" t="s">
        <v>1914</v>
      </c>
      <c r="H84" s="586" t="s">
        <v>202</v>
      </c>
      <c r="I84" s="587" t="s">
        <v>43</v>
      </c>
      <c r="J84" s="517">
        <v>100</v>
      </c>
      <c r="K84" s="518">
        <v>100</v>
      </c>
      <c r="L84" s="519">
        <v>100</v>
      </c>
      <c r="M84" s="520">
        <v>100</v>
      </c>
      <c r="N84" s="582">
        <v>100</v>
      </c>
      <c r="O84" s="583" t="s">
        <v>2166</v>
      </c>
      <c r="P84" s="583"/>
      <c r="Q84" s="583"/>
    </row>
    <row r="85" spans="1:17" ht="46.5" x14ac:dyDescent="0.25">
      <c r="A85" s="484"/>
      <c r="B85" s="453"/>
      <c r="C85" s="453"/>
      <c r="D85" s="453"/>
      <c r="E85" s="453"/>
      <c r="F85" s="487"/>
      <c r="G85" s="588" t="s">
        <v>1896</v>
      </c>
      <c r="H85" s="589" t="s">
        <v>1933</v>
      </c>
      <c r="I85" s="590" t="s">
        <v>2112</v>
      </c>
      <c r="J85" s="584">
        <v>100</v>
      </c>
      <c r="K85" s="518">
        <v>100</v>
      </c>
      <c r="L85" s="591">
        <v>100</v>
      </c>
      <c r="M85" s="592">
        <v>100</v>
      </c>
      <c r="N85" s="481">
        <v>100</v>
      </c>
      <c r="O85" s="482" t="s">
        <v>2134</v>
      </c>
      <c r="P85" s="482"/>
      <c r="Q85" s="482"/>
    </row>
    <row r="86" spans="1:17" ht="69.75" x14ac:dyDescent="0.25">
      <c r="A86" s="593" t="s">
        <v>204</v>
      </c>
      <c r="B86" s="574">
        <v>20</v>
      </c>
      <c r="C86" s="574">
        <v>5</v>
      </c>
      <c r="D86" s="574">
        <v>5</v>
      </c>
      <c r="E86" s="574">
        <v>5</v>
      </c>
      <c r="F86" s="575">
        <v>5</v>
      </c>
      <c r="G86" s="515" t="s">
        <v>1915</v>
      </c>
      <c r="H86" s="516" t="s">
        <v>2167</v>
      </c>
      <c r="I86" s="539" t="s">
        <v>2112</v>
      </c>
      <c r="J86" s="517">
        <v>10</v>
      </c>
      <c r="K86" s="518">
        <v>30</v>
      </c>
      <c r="L86" s="519">
        <v>30</v>
      </c>
      <c r="M86" s="520">
        <v>30</v>
      </c>
      <c r="N86" s="481">
        <f t="shared" si="5"/>
        <v>100</v>
      </c>
      <c r="O86" s="482" t="s">
        <v>2154</v>
      </c>
      <c r="P86" s="482"/>
      <c r="Q86" s="482"/>
    </row>
    <row r="87" spans="1:17" ht="93" customHeight="1" x14ac:dyDescent="0.25">
      <c r="A87" s="484"/>
      <c r="B87" s="485"/>
      <c r="C87" s="485"/>
      <c r="D87" s="485"/>
      <c r="E87" s="485"/>
      <c r="F87" s="486"/>
      <c r="G87" s="515" t="s">
        <v>207</v>
      </c>
      <c r="H87" s="516" t="s">
        <v>2168</v>
      </c>
      <c r="I87" s="539" t="s">
        <v>43</v>
      </c>
      <c r="J87" s="517">
        <v>10</v>
      </c>
      <c r="K87" s="518">
        <v>1</v>
      </c>
      <c r="L87" s="519">
        <v>1</v>
      </c>
      <c r="M87" s="520">
        <v>1</v>
      </c>
      <c r="N87" s="481">
        <v>3</v>
      </c>
      <c r="O87" s="482" t="s">
        <v>2154</v>
      </c>
      <c r="P87" s="482"/>
      <c r="Q87" s="482"/>
    </row>
    <row r="88" spans="1:17" ht="47.25" thickBot="1" x14ac:dyDescent="0.3">
      <c r="A88" s="594"/>
      <c r="B88" s="595"/>
      <c r="C88" s="595"/>
      <c r="D88" s="595"/>
      <c r="E88" s="595"/>
      <c r="F88" s="596"/>
      <c r="G88" s="597" t="s">
        <v>208</v>
      </c>
      <c r="H88" s="598" t="s">
        <v>209</v>
      </c>
      <c r="I88" s="599" t="s">
        <v>2112</v>
      </c>
      <c r="J88" s="600">
        <v>10</v>
      </c>
      <c r="K88" s="601">
        <v>30</v>
      </c>
      <c r="L88" s="602">
        <v>30</v>
      </c>
      <c r="M88" s="603">
        <v>30</v>
      </c>
      <c r="N88" s="604">
        <f t="shared" si="5"/>
        <v>100</v>
      </c>
      <c r="O88" s="605" t="s">
        <v>2154</v>
      </c>
      <c r="P88" s="605"/>
      <c r="Q88" s="605"/>
    </row>
    <row r="89" spans="1:17" ht="27.75" customHeight="1" x14ac:dyDescent="0.25">
      <c r="B89" s="606"/>
      <c r="C89" s="606"/>
      <c r="D89" s="606"/>
      <c r="E89" s="606"/>
      <c r="F89" s="606"/>
      <c r="G89" s="606"/>
      <c r="H89" s="607"/>
      <c r="I89" s="606"/>
      <c r="J89" s="606"/>
      <c r="K89" s="606"/>
      <c r="L89" s="606"/>
      <c r="M89" s="606"/>
      <c r="N89" s="608"/>
      <c r="O89" s="608"/>
      <c r="P89" s="608"/>
      <c r="Q89" s="608"/>
    </row>
    <row r="90" spans="1:17" ht="27.75" customHeight="1" x14ac:dyDescent="0.25">
      <c r="B90" s="606"/>
      <c r="C90" s="606"/>
      <c r="D90" s="606"/>
      <c r="E90" s="606"/>
      <c r="F90" s="606"/>
      <c r="G90" s="606"/>
      <c r="H90" s="607"/>
      <c r="I90" s="606"/>
      <c r="J90" s="606"/>
      <c r="K90" s="606"/>
      <c r="L90" s="606"/>
      <c r="M90" s="606"/>
      <c r="N90" s="608"/>
      <c r="O90" s="608"/>
      <c r="P90" s="608"/>
      <c r="Q90" s="608"/>
    </row>
    <row r="91" spans="1:17" ht="27.75" customHeight="1" x14ac:dyDescent="0.25">
      <c r="B91" s="606"/>
      <c r="C91" s="606"/>
      <c r="D91" s="606"/>
      <c r="E91" s="606"/>
      <c r="F91" s="606"/>
      <c r="G91" s="606"/>
      <c r="H91" s="607"/>
      <c r="I91" s="606"/>
      <c r="J91" s="606"/>
      <c r="K91" s="606"/>
      <c r="L91" s="606"/>
      <c r="M91" s="606"/>
      <c r="N91" s="608"/>
      <c r="O91" s="608"/>
      <c r="P91" s="608"/>
      <c r="Q91" s="608"/>
    </row>
    <row r="92" spans="1:17" ht="27.75" customHeight="1" x14ac:dyDescent="0.25">
      <c r="B92" s="606"/>
      <c r="C92" s="606"/>
      <c r="D92" s="606"/>
      <c r="E92" s="606"/>
      <c r="F92" s="606"/>
      <c r="G92" s="606"/>
      <c r="H92" s="607"/>
      <c r="I92" s="606"/>
      <c r="J92" s="606"/>
      <c r="K92" s="606"/>
      <c r="L92" s="606"/>
      <c r="M92" s="606"/>
      <c r="N92" s="608"/>
      <c r="O92" s="608"/>
      <c r="P92" s="608"/>
      <c r="Q92" s="608"/>
    </row>
    <row r="93" spans="1:17" ht="27.75" customHeight="1" x14ac:dyDescent="0.25">
      <c r="B93" s="606"/>
      <c r="C93" s="606"/>
      <c r="D93" s="606"/>
      <c r="E93" s="606"/>
      <c r="F93" s="606"/>
      <c r="G93" s="606"/>
      <c r="H93" s="607"/>
      <c r="I93" s="606"/>
      <c r="J93" s="606"/>
      <c r="K93" s="606"/>
      <c r="L93" s="606"/>
      <c r="M93" s="606"/>
      <c r="N93" s="608"/>
      <c r="O93" s="608"/>
      <c r="P93" s="608"/>
      <c r="Q93" s="608"/>
    </row>
    <row r="94" spans="1:17" ht="27.75" customHeight="1" x14ac:dyDescent="0.25">
      <c r="B94" s="606"/>
      <c r="C94" s="606"/>
      <c r="D94" s="606"/>
      <c r="E94" s="606"/>
      <c r="F94" s="606"/>
      <c r="G94" s="606"/>
      <c r="H94" s="607"/>
      <c r="I94" s="606"/>
      <c r="J94" s="606"/>
      <c r="K94" s="606"/>
      <c r="L94" s="606"/>
      <c r="M94" s="606"/>
      <c r="N94" s="608"/>
      <c r="O94" s="608"/>
      <c r="P94" s="608"/>
      <c r="Q94" s="608"/>
    </row>
    <row r="95" spans="1:17" ht="27.75" customHeight="1" x14ac:dyDescent="0.25">
      <c r="B95" s="606"/>
      <c r="C95" s="606"/>
      <c r="D95" s="606"/>
      <c r="E95" s="606"/>
      <c r="F95" s="606"/>
      <c r="G95" s="606"/>
      <c r="H95" s="607"/>
      <c r="I95" s="606"/>
      <c r="J95" s="606"/>
      <c r="K95" s="606"/>
      <c r="L95" s="606"/>
      <c r="M95" s="606"/>
      <c r="N95" s="608"/>
      <c r="O95" s="608"/>
      <c r="P95" s="608"/>
      <c r="Q95" s="608"/>
    </row>
    <row r="96" spans="1:17" ht="27.75" customHeight="1" x14ac:dyDescent="0.25">
      <c r="B96" s="606"/>
      <c r="C96" s="606"/>
      <c r="D96" s="606"/>
      <c r="E96" s="606"/>
      <c r="F96" s="606"/>
      <c r="G96" s="606"/>
      <c r="H96" s="607"/>
      <c r="I96" s="606"/>
      <c r="J96" s="606"/>
      <c r="K96" s="606"/>
      <c r="L96" s="606"/>
      <c r="M96" s="606"/>
      <c r="N96" s="608"/>
      <c r="O96" s="608"/>
      <c r="P96" s="608"/>
      <c r="Q96" s="608"/>
    </row>
    <row r="97" spans="2:17" ht="27.75" customHeight="1" x14ac:dyDescent="0.25">
      <c r="B97" s="606"/>
      <c r="C97" s="606"/>
      <c r="D97" s="606"/>
      <c r="E97" s="606"/>
      <c r="F97" s="606"/>
      <c r="G97" s="606"/>
      <c r="H97" s="607"/>
      <c r="I97" s="606"/>
      <c r="J97" s="606"/>
      <c r="K97" s="606"/>
      <c r="L97" s="606"/>
      <c r="M97" s="606"/>
      <c r="N97" s="608"/>
      <c r="O97" s="608"/>
      <c r="P97" s="608"/>
      <c r="Q97" s="608"/>
    </row>
    <row r="98" spans="2:17" ht="27.75" customHeight="1" x14ac:dyDescent="0.25">
      <c r="B98" s="606"/>
      <c r="C98" s="606"/>
      <c r="D98" s="606"/>
      <c r="E98" s="606"/>
      <c r="F98" s="606"/>
      <c r="G98" s="606"/>
      <c r="H98" s="607"/>
      <c r="I98" s="606"/>
      <c r="J98" s="606"/>
      <c r="K98" s="606"/>
      <c r="L98" s="606"/>
      <c r="M98" s="606"/>
      <c r="N98" s="608"/>
      <c r="O98" s="608"/>
      <c r="P98" s="608"/>
      <c r="Q98" s="608"/>
    </row>
    <row r="99" spans="2:17" ht="27.75" customHeight="1" x14ac:dyDescent="0.25">
      <c r="B99" s="606"/>
      <c r="C99" s="606"/>
      <c r="D99" s="606"/>
      <c r="E99" s="606"/>
      <c r="F99" s="606"/>
      <c r="G99" s="606"/>
      <c r="H99" s="607"/>
      <c r="I99" s="606"/>
      <c r="J99" s="606"/>
      <c r="K99" s="606"/>
      <c r="L99" s="606"/>
      <c r="M99" s="606"/>
      <c r="N99" s="608"/>
      <c r="O99" s="608"/>
      <c r="P99" s="608"/>
      <c r="Q99" s="608"/>
    </row>
    <row r="100" spans="2:17" ht="27.75" customHeight="1" x14ac:dyDescent="0.25">
      <c r="B100" s="606"/>
      <c r="C100" s="606"/>
      <c r="D100" s="606"/>
      <c r="E100" s="606"/>
      <c r="F100" s="606"/>
      <c r="G100" s="606"/>
      <c r="H100" s="607"/>
      <c r="I100" s="606"/>
      <c r="J100" s="606"/>
      <c r="K100" s="606"/>
      <c r="L100" s="606"/>
      <c r="M100" s="606"/>
      <c r="N100" s="608"/>
      <c r="O100" s="608"/>
      <c r="P100" s="608"/>
      <c r="Q100" s="608"/>
    </row>
    <row r="101" spans="2:17" ht="27.75" customHeight="1" x14ac:dyDescent="0.25">
      <c r="B101" s="606"/>
      <c r="C101" s="606"/>
      <c r="D101" s="606"/>
      <c r="E101" s="606"/>
      <c r="F101" s="606"/>
      <c r="G101" s="606"/>
      <c r="H101" s="607"/>
      <c r="I101" s="606"/>
      <c r="J101" s="606"/>
      <c r="K101" s="606"/>
      <c r="L101" s="606"/>
      <c r="M101" s="606"/>
      <c r="N101" s="608"/>
      <c r="O101" s="608"/>
      <c r="P101" s="608"/>
      <c r="Q101" s="608"/>
    </row>
    <row r="102" spans="2:17" ht="27.75" customHeight="1" x14ac:dyDescent="0.25">
      <c r="B102" s="606"/>
      <c r="C102" s="606"/>
      <c r="D102" s="606"/>
      <c r="E102" s="606"/>
      <c r="F102" s="606"/>
      <c r="G102" s="606"/>
      <c r="H102" s="607"/>
      <c r="I102" s="606"/>
      <c r="J102" s="606"/>
      <c r="K102" s="606"/>
      <c r="L102" s="606"/>
      <c r="M102" s="606"/>
      <c r="N102" s="608"/>
      <c r="O102" s="608"/>
      <c r="P102" s="608"/>
      <c r="Q102" s="608"/>
    </row>
    <row r="103" spans="2:17" ht="27.75" customHeight="1" x14ac:dyDescent="0.25">
      <c r="B103" s="606"/>
      <c r="C103" s="606"/>
      <c r="D103" s="606"/>
      <c r="E103" s="606"/>
      <c r="F103" s="606"/>
      <c r="G103" s="606"/>
      <c r="H103" s="607"/>
      <c r="I103" s="606"/>
      <c r="J103" s="606"/>
      <c r="K103" s="606"/>
      <c r="L103" s="606"/>
      <c r="M103" s="606"/>
      <c r="N103" s="608"/>
      <c r="O103" s="608"/>
      <c r="P103" s="608"/>
      <c r="Q103" s="608"/>
    </row>
    <row r="104" spans="2:17" ht="27.75" customHeight="1" x14ac:dyDescent="0.25">
      <c r="B104" s="606"/>
      <c r="C104" s="606"/>
      <c r="D104" s="606"/>
      <c r="E104" s="606"/>
      <c r="F104" s="606"/>
      <c r="G104" s="606"/>
      <c r="H104" s="607"/>
      <c r="I104" s="606"/>
      <c r="J104" s="606"/>
      <c r="K104" s="606"/>
      <c r="L104" s="606"/>
      <c r="M104" s="606"/>
      <c r="N104" s="608"/>
      <c r="O104" s="608"/>
      <c r="P104" s="608"/>
      <c r="Q104" s="608"/>
    </row>
    <row r="105" spans="2:17" ht="27.75" customHeight="1" x14ac:dyDescent="0.25">
      <c r="B105" s="606"/>
      <c r="C105" s="606"/>
      <c r="D105" s="606"/>
      <c r="E105" s="606"/>
      <c r="F105" s="606"/>
      <c r="G105" s="606"/>
      <c r="H105" s="607"/>
      <c r="I105" s="606"/>
      <c r="J105" s="606"/>
      <c r="K105" s="606"/>
      <c r="L105" s="606"/>
      <c r="M105" s="606"/>
      <c r="N105" s="608"/>
      <c r="O105" s="608"/>
      <c r="P105" s="608"/>
      <c r="Q105" s="608"/>
    </row>
    <row r="106" spans="2:17" ht="27.75" customHeight="1" x14ac:dyDescent="0.25">
      <c r="B106" s="606"/>
      <c r="C106" s="606"/>
      <c r="D106" s="606"/>
      <c r="E106" s="606"/>
      <c r="F106" s="606"/>
      <c r="G106" s="606"/>
      <c r="H106" s="607"/>
      <c r="I106" s="606"/>
      <c r="J106" s="606"/>
      <c r="K106" s="606"/>
      <c r="L106" s="606"/>
      <c r="M106" s="606"/>
      <c r="N106" s="608"/>
      <c r="O106" s="608"/>
      <c r="P106" s="608"/>
      <c r="Q106" s="608"/>
    </row>
    <row r="107" spans="2:17" ht="27.75" customHeight="1" x14ac:dyDescent="0.25">
      <c r="B107" s="606"/>
      <c r="C107" s="606"/>
      <c r="D107" s="606"/>
      <c r="E107" s="606"/>
      <c r="F107" s="606"/>
      <c r="G107" s="606"/>
      <c r="H107" s="607"/>
      <c r="I107" s="606"/>
      <c r="J107" s="606"/>
      <c r="K107" s="606"/>
      <c r="L107" s="606"/>
      <c r="M107" s="606"/>
      <c r="N107" s="608"/>
      <c r="O107" s="608"/>
      <c r="P107" s="608"/>
      <c r="Q107" s="608"/>
    </row>
    <row r="108" spans="2:17" ht="27.75" customHeight="1" x14ac:dyDescent="0.25">
      <c r="B108" s="606"/>
      <c r="C108" s="606"/>
      <c r="D108" s="606"/>
      <c r="E108" s="606"/>
      <c r="F108" s="606"/>
      <c r="G108" s="606"/>
      <c r="H108" s="607"/>
      <c r="I108" s="606"/>
      <c r="J108" s="606"/>
      <c r="K108" s="606"/>
      <c r="L108" s="606"/>
      <c r="M108" s="606"/>
      <c r="N108" s="608"/>
      <c r="O108" s="608"/>
      <c r="P108" s="608"/>
      <c r="Q108" s="608"/>
    </row>
    <row r="109" spans="2:17" ht="27.75" customHeight="1" x14ac:dyDescent="0.25">
      <c r="B109" s="606"/>
      <c r="C109" s="606"/>
      <c r="D109" s="606"/>
      <c r="E109" s="606"/>
      <c r="F109" s="606"/>
      <c r="G109" s="606"/>
      <c r="H109" s="607"/>
      <c r="I109" s="606"/>
      <c r="J109" s="606"/>
      <c r="K109" s="606"/>
      <c r="L109" s="606"/>
      <c r="M109" s="606"/>
      <c r="N109" s="608"/>
      <c r="O109" s="608"/>
      <c r="P109" s="608"/>
      <c r="Q109" s="608"/>
    </row>
    <row r="110" spans="2:17" ht="27.75" customHeight="1" x14ac:dyDescent="0.25">
      <c r="B110" s="606"/>
      <c r="C110" s="606"/>
      <c r="D110" s="606"/>
      <c r="E110" s="606"/>
      <c r="F110" s="606"/>
      <c r="G110" s="606"/>
      <c r="H110" s="607"/>
      <c r="I110" s="606"/>
      <c r="J110" s="606"/>
      <c r="K110" s="606"/>
      <c r="L110" s="606"/>
      <c r="M110" s="606"/>
      <c r="N110" s="608"/>
      <c r="O110" s="608"/>
      <c r="P110" s="608"/>
      <c r="Q110" s="608"/>
    </row>
    <row r="111" spans="2:17" ht="27.75" customHeight="1" x14ac:dyDescent="0.25">
      <c r="B111" s="606"/>
      <c r="C111" s="606"/>
      <c r="D111" s="606"/>
      <c r="E111" s="606"/>
      <c r="F111" s="606"/>
      <c r="G111" s="606"/>
      <c r="H111" s="607"/>
      <c r="I111" s="606"/>
      <c r="J111" s="606"/>
      <c r="K111" s="606"/>
      <c r="L111" s="606"/>
      <c r="M111" s="606"/>
      <c r="N111" s="608"/>
      <c r="O111" s="608"/>
      <c r="P111" s="608"/>
      <c r="Q111" s="608"/>
    </row>
    <row r="112" spans="2:17" ht="27.75" customHeight="1" x14ac:dyDescent="0.25">
      <c r="B112" s="606"/>
      <c r="C112" s="606"/>
      <c r="D112" s="606"/>
      <c r="E112" s="606"/>
      <c r="F112" s="606"/>
      <c r="G112" s="606"/>
      <c r="H112" s="607"/>
      <c r="I112" s="606"/>
      <c r="J112" s="606"/>
      <c r="K112" s="606"/>
      <c r="L112" s="606"/>
      <c r="M112" s="606"/>
      <c r="N112" s="608"/>
      <c r="O112" s="608"/>
      <c r="P112" s="608"/>
      <c r="Q112" s="608"/>
    </row>
    <row r="113" spans="2:17" ht="27.75" customHeight="1" x14ac:dyDescent="0.25">
      <c r="B113" s="606"/>
      <c r="C113" s="606"/>
      <c r="D113" s="606"/>
      <c r="E113" s="606"/>
      <c r="F113" s="606"/>
      <c r="G113" s="606"/>
      <c r="H113" s="607"/>
      <c r="I113" s="606"/>
      <c r="J113" s="606"/>
      <c r="K113" s="606"/>
      <c r="L113" s="606"/>
      <c r="M113" s="606"/>
      <c r="N113" s="608"/>
      <c r="O113" s="608"/>
      <c r="P113" s="608"/>
      <c r="Q113" s="608"/>
    </row>
    <row r="114" spans="2:17" ht="27.75" customHeight="1" x14ac:dyDescent="0.25">
      <c r="B114" s="606"/>
      <c r="C114" s="606"/>
      <c r="D114" s="606"/>
      <c r="E114" s="606"/>
      <c r="F114" s="606"/>
      <c r="G114" s="606"/>
      <c r="H114" s="607"/>
      <c r="I114" s="606"/>
      <c r="J114" s="606"/>
      <c r="K114" s="606"/>
      <c r="L114" s="606"/>
      <c r="M114" s="606"/>
      <c r="N114" s="608"/>
      <c r="O114" s="608"/>
      <c r="P114" s="608"/>
      <c r="Q114" s="608"/>
    </row>
    <row r="115" spans="2:17" ht="27.75" customHeight="1" x14ac:dyDescent="0.25">
      <c r="B115" s="606"/>
      <c r="C115" s="606"/>
      <c r="D115" s="606"/>
      <c r="E115" s="606"/>
      <c r="F115" s="606"/>
      <c r="G115" s="606"/>
      <c r="H115" s="607"/>
      <c r="I115" s="606"/>
      <c r="J115" s="606"/>
      <c r="K115" s="606"/>
      <c r="L115" s="606"/>
      <c r="M115" s="606"/>
      <c r="N115" s="608"/>
      <c r="O115" s="608"/>
      <c r="P115" s="608"/>
      <c r="Q115" s="608"/>
    </row>
    <row r="116" spans="2:17" ht="27.75" customHeight="1" x14ac:dyDescent="0.25">
      <c r="B116" s="606"/>
      <c r="C116" s="606"/>
      <c r="D116" s="606"/>
      <c r="E116" s="606"/>
      <c r="F116" s="606"/>
      <c r="G116" s="606"/>
      <c r="H116" s="607"/>
      <c r="I116" s="606"/>
      <c r="J116" s="606"/>
      <c r="K116" s="606"/>
      <c r="L116" s="606"/>
      <c r="M116" s="606"/>
      <c r="N116" s="608"/>
      <c r="O116" s="608"/>
      <c r="P116" s="608"/>
      <c r="Q116" s="608"/>
    </row>
    <row r="117" spans="2:17" ht="27.75" customHeight="1" x14ac:dyDescent="0.25">
      <c r="B117" s="606"/>
      <c r="C117" s="606"/>
      <c r="D117" s="606"/>
      <c r="E117" s="606"/>
      <c r="F117" s="606"/>
      <c r="G117" s="606"/>
      <c r="H117" s="607"/>
      <c r="I117" s="606"/>
      <c r="J117" s="606"/>
      <c r="K117" s="606"/>
      <c r="L117" s="606"/>
      <c r="M117" s="606"/>
      <c r="N117" s="608"/>
      <c r="O117" s="608"/>
      <c r="P117" s="608"/>
      <c r="Q117" s="608"/>
    </row>
    <row r="118" spans="2:17" ht="27.75" customHeight="1" x14ac:dyDescent="0.25">
      <c r="B118" s="606"/>
      <c r="C118" s="606"/>
      <c r="D118" s="606"/>
      <c r="E118" s="606"/>
      <c r="F118" s="606"/>
      <c r="G118" s="606"/>
      <c r="H118" s="607"/>
      <c r="I118" s="606"/>
      <c r="J118" s="606"/>
      <c r="K118" s="606"/>
      <c r="L118" s="606"/>
      <c r="M118" s="606"/>
      <c r="N118" s="608"/>
      <c r="O118" s="608"/>
      <c r="P118" s="608"/>
      <c r="Q118" s="608"/>
    </row>
    <row r="119" spans="2:17" ht="27.75" customHeight="1" x14ac:dyDescent="0.25">
      <c r="B119" s="606"/>
      <c r="C119" s="606"/>
      <c r="D119" s="606"/>
      <c r="E119" s="606"/>
      <c r="F119" s="606"/>
      <c r="G119" s="606"/>
      <c r="H119" s="607"/>
      <c r="I119" s="606"/>
      <c r="J119" s="606"/>
      <c r="K119" s="606"/>
      <c r="L119" s="606"/>
      <c r="M119" s="606"/>
      <c r="N119" s="608"/>
      <c r="O119" s="608"/>
      <c r="P119" s="608"/>
      <c r="Q119" s="608"/>
    </row>
    <row r="120" spans="2:17" ht="27.75" customHeight="1" x14ac:dyDescent="0.25">
      <c r="B120" s="606"/>
      <c r="C120" s="606"/>
      <c r="D120" s="606"/>
      <c r="E120" s="606"/>
      <c r="F120" s="606"/>
      <c r="G120" s="606"/>
      <c r="H120" s="607"/>
      <c r="I120" s="606"/>
      <c r="J120" s="606"/>
      <c r="K120" s="606"/>
      <c r="L120" s="606"/>
      <c r="M120" s="606"/>
      <c r="N120" s="608"/>
      <c r="O120" s="608"/>
      <c r="P120" s="608"/>
      <c r="Q120" s="608"/>
    </row>
    <row r="121" spans="2:17" ht="27.75" customHeight="1" x14ac:dyDescent="0.25">
      <c r="B121" s="606"/>
      <c r="C121" s="606"/>
      <c r="D121" s="606"/>
      <c r="E121" s="606"/>
      <c r="F121" s="606"/>
      <c r="G121" s="606"/>
      <c r="H121" s="607"/>
      <c r="I121" s="606"/>
      <c r="J121" s="606"/>
      <c r="K121" s="606"/>
      <c r="L121" s="606"/>
      <c r="M121" s="606"/>
      <c r="N121" s="608"/>
      <c r="O121" s="608"/>
      <c r="P121" s="608"/>
      <c r="Q121" s="608"/>
    </row>
    <row r="122" spans="2:17" ht="27.75" customHeight="1" x14ac:dyDescent="0.25">
      <c r="B122" s="606"/>
      <c r="C122" s="606"/>
      <c r="D122" s="606"/>
      <c r="E122" s="606"/>
      <c r="F122" s="606"/>
      <c r="G122" s="606"/>
      <c r="H122" s="607"/>
      <c r="I122" s="606"/>
      <c r="J122" s="606"/>
      <c r="K122" s="606"/>
      <c r="L122" s="606"/>
      <c r="M122" s="606"/>
      <c r="N122" s="608"/>
      <c r="O122" s="608"/>
      <c r="P122" s="608"/>
      <c r="Q122" s="608"/>
    </row>
    <row r="123" spans="2:17" ht="27.75" customHeight="1" x14ac:dyDescent="0.25">
      <c r="B123" s="606"/>
      <c r="C123" s="606"/>
      <c r="D123" s="606"/>
      <c r="E123" s="606"/>
      <c r="F123" s="606"/>
      <c r="G123" s="606"/>
      <c r="H123" s="607"/>
      <c r="I123" s="606"/>
      <c r="J123" s="606"/>
      <c r="K123" s="606"/>
      <c r="L123" s="606"/>
      <c r="M123" s="606"/>
      <c r="N123" s="608"/>
      <c r="O123" s="608"/>
      <c r="P123" s="608"/>
      <c r="Q123" s="608"/>
    </row>
    <row r="124" spans="2:17" ht="27.75" customHeight="1" x14ac:dyDescent="0.25">
      <c r="B124" s="606"/>
      <c r="C124" s="606"/>
      <c r="D124" s="606"/>
      <c r="E124" s="606"/>
      <c r="F124" s="606"/>
      <c r="G124" s="606"/>
      <c r="H124" s="607"/>
      <c r="I124" s="606"/>
      <c r="J124" s="606"/>
      <c r="K124" s="606"/>
      <c r="L124" s="606"/>
      <c r="M124" s="606"/>
      <c r="N124" s="608"/>
      <c r="O124" s="608"/>
      <c r="P124" s="608"/>
      <c r="Q124" s="608"/>
    </row>
    <row r="125" spans="2:17" ht="27.75" customHeight="1" x14ac:dyDescent="0.25">
      <c r="B125" s="606"/>
      <c r="C125" s="606"/>
      <c r="D125" s="606"/>
      <c r="E125" s="606"/>
      <c r="F125" s="606"/>
      <c r="G125" s="606"/>
      <c r="H125" s="607"/>
      <c r="I125" s="606"/>
      <c r="J125" s="606"/>
      <c r="K125" s="606"/>
      <c r="L125" s="606"/>
      <c r="M125" s="606"/>
      <c r="N125" s="608"/>
      <c r="O125" s="608"/>
      <c r="P125" s="608"/>
      <c r="Q125" s="608"/>
    </row>
    <row r="126" spans="2:17" ht="27.75" customHeight="1" x14ac:dyDescent="0.25">
      <c r="B126" s="606"/>
      <c r="C126" s="606"/>
      <c r="D126" s="606"/>
      <c r="E126" s="606"/>
      <c r="F126" s="606"/>
      <c r="G126" s="606"/>
      <c r="H126" s="607"/>
      <c r="I126" s="606"/>
      <c r="J126" s="606"/>
      <c r="K126" s="606"/>
      <c r="L126" s="606"/>
      <c r="M126" s="606"/>
      <c r="N126" s="608"/>
      <c r="O126" s="608"/>
      <c r="P126" s="608"/>
      <c r="Q126" s="608"/>
    </row>
    <row r="127" spans="2:17" ht="27.75" customHeight="1" x14ac:dyDescent="0.25">
      <c r="B127" s="606"/>
      <c r="C127" s="606"/>
      <c r="D127" s="606"/>
      <c r="E127" s="606"/>
      <c r="F127" s="606"/>
      <c r="G127" s="606"/>
      <c r="H127" s="607"/>
      <c r="I127" s="606"/>
      <c r="J127" s="606"/>
      <c r="K127" s="606"/>
      <c r="L127" s="606"/>
      <c r="M127" s="606"/>
      <c r="N127" s="608"/>
      <c r="O127" s="608"/>
      <c r="P127" s="608"/>
      <c r="Q127" s="608"/>
    </row>
    <row r="128" spans="2:17" ht="27.75" customHeight="1" x14ac:dyDescent="0.25">
      <c r="B128" s="606"/>
      <c r="C128" s="606"/>
      <c r="D128" s="606"/>
      <c r="E128" s="606"/>
      <c r="F128" s="606"/>
      <c r="G128" s="606"/>
      <c r="H128" s="607"/>
      <c r="I128" s="606"/>
      <c r="J128" s="606"/>
      <c r="K128" s="606"/>
      <c r="L128" s="606"/>
      <c r="M128" s="606"/>
      <c r="N128" s="608"/>
      <c r="O128" s="608"/>
      <c r="P128" s="608"/>
      <c r="Q128" s="608"/>
    </row>
    <row r="129" spans="2:17" ht="27.75" customHeight="1" x14ac:dyDescent="0.25">
      <c r="B129" s="606"/>
      <c r="C129" s="606"/>
      <c r="D129" s="606"/>
      <c r="E129" s="606"/>
      <c r="F129" s="606"/>
      <c r="G129" s="606"/>
      <c r="H129" s="607"/>
      <c r="I129" s="606"/>
      <c r="J129" s="606"/>
      <c r="K129" s="606"/>
      <c r="L129" s="606"/>
      <c r="M129" s="606"/>
      <c r="N129" s="608"/>
      <c r="O129" s="608"/>
      <c r="P129" s="608"/>
      <c r="Q129" s="608"/>
    </row>
    <row r="130" spans="2:17" ht="27.75" customHeight="1" x14ac:dyDescent="0.25">
      <c r="B130" s="606"/>
      <c r="C130" s="606"/>
      <c r="D130" s="606"/>
      <c r="E130" s="606"/>
      <c r="F130" s="606"/>
      <c r="G130" s="606"/>
      <c r="H130" s="607"/>
      <c r="I130" s="606"/>
      <c r="J130" s="606"/>
      <c r="K130" s="606"/>
      <c r="L130" s="606"/>
      <c r="M130" s="606"/>
      <c r="N130" s="608"/>
      <c r="O130" s="608"/>
      <c r="P130" s="608"/>
      <c r="Q130" s="608"/>
    </row>
    <row r="131" spans="2:17" ht="27.75" customHeight="1" x14ac:dyDescent="0.25">
      <c r="B131" s="606"/>
      <c r="C131" s="606"/>
      <c r="D131" s="606"/>
      <c r="E131" s="606"/>
      <c r="F131" s="606"/>
      <c r="G131" s="606"/>
      <c r="H131" s="607"/>
      <c r="I131" s="606"/>
      <c r="J131" s="606"/>
      <c r="K131" s="606"/>
      <c r="L131" s="606"/>
      <c r="M131" s="606"/>
      <c r="N131" s="608"/>
      <c r="O131" s="608"/>
      <c r="P131" s="608"/>
      <c r="Q131" s="608"/>
    </row>
    <row r="132" spans="2:17" ht="27.75" customHeight="1" x14ac:dyDescent="0.25">
      <c r="B132" s="606"/>
      <c r="C132" s="606"/>
      <c r="D132" s="606"/>
      <c r="E132" s="606"/>
      <c r="F132" s="606"/>
      <c r="G132" s="606"/>
      <c r="H132" s="607"/>
      <c r="I132" s="606"/>
      <c r="J132" s="606"/>
      <c r="K132" s="606"/>
      <c r="L132" s="606"/>
      <c r="M132" s="606"/>
      <c r="N132" s="608"/>
      <c r="O132" s="608"/>
      <c r="P132" s="608"/>
      <c r="Q132" s="608"/>
    </row>
    <row r="133" spans="2:17" ht="27.75" customHeight="1" x14ac:dyDescent="0.25">
      <c r="B133" s="606"/>
      <c r="C133" s="606"/>
      <c r="D133" s="606"/>
      <c r="E133" s="606"/>
      <c r="F133" s="606"/>
      <c r="G133" s="606"/>
      <c r="H133" s="607"/>
      <c r="I133" s="606"/>
      <c r="J133" s="606"/>
      <c r="K133" s="606"/>
      <c r="L133" s="606"/>
      <c r="M133" s="606"/>
      <c r="N133" s="608"/>
      <c r="O133" s="608"/>
      <c r="P133" s="608"/>
      <c r="Q133" s="608"/>
    </row>
    <row r="134" spans="2:17" ht="27.75" customHeight="1" x14ac:dyDescent="0.25">
      <c r="B134" s="606"/>
      <c r="C134" s="606"/>
      <c r="D134" s="606"/>
      <c r="E134" s="606"/>
      <c r="F134" s="606"/>
      <c r="G134" s="606"/>
      <c r="H134" s="607"/>
      <c r="I134" s="606"/>
      <c r="J134" s="606"/>
      <c r="K134" s="606"/>
      <c r="L134" s="606"/>
      <c r="M134" s="606"/>
      <c r="N134" s="608"/>
      <c r="O134" s="608"/>
      <c r="P134" s="608"/>
      <c r="Q134" s="608"/>
    </row>
    <row r="135" spans="2:17" ht="27.75" customHeight="1" x14ac:dyDescent="0.25">
      <c r="B135" s="606"/>
      <c r="C135" s="606"/>
      <c r="D135" s="606"/>
      <c r="E135" s="606"/>
      <c r="F135" s="606"/>
      <c r="G135" s="606"/>
      <c r="H135" s="607"/>
      <c r="I135" s="606"/>
      <c r="J135" s="606"/>
      <c r="K135" s="606"/>
      <c r="L135" s="606"/>
      <c r="M135" s="606"/>
      <c r="N135" s="608"/>
      <c r="O135" s="608"/>
      <c r="P135" s="608"/>
      <c r="Q135" s="608"/>
    </row>
    <row r="136" spans="2:17" ht="27.75" customHeight="1" x14ac:dyDescent="0.25">
      <c r="B136" s="606"/>
      <c r="C136" s="606"/>
      <c r="D136" s="606"/>
      <c r="E136" s="606"/>
      <c r="F136" s="606"/>
      <c r="G136" s="606"/>
      <c r="H136" s="607"/>
      <c r="I136" s="606"/>
      <c r="J136" s="606"/>
      <c r="K136" s="606"/>
      <c r="L136" s="606"/>
      <c r="M136" s="606"/>
      <c r="N136" s="608"/>
      <c r="O136" s="608"/>
      <c r="P136" s="608"/>
      <c r="Q136" s="608"/>
    </row>
    <row r="137" spans="2:17" ht="27.75" customHeight="1" x14ac:dyDescent="0.25">
      <c r="B137" s="606"/>
      <c r="C137" s="606"/>
      <c r="D137" s="606"/>
      <c r="E137" s="606"/>
      <c r="F137" s="606"/>
      <c r="G137" s="606"/>
      <c r="H137" s="607"/>
      <c r="I137" s="606"/>
      <c r="J137" s="606"/>
      <c r="K137" s="606"/>
      <c r="L137" s="606"/>
      <c r="M137" s="606"/>
      <c r="N137" s="608"/>
      <c r="O137" s="608"/>
      <c r="P137" s="608"/>
      <c r="Q137" s="608"/>
    </row>
    <row r="138" spans="2:17" ht="27.75" customHeight="1" x14ac:dyDescent="0.25">
      <c r="B138" s="606"/>
      <c r="C138" s="606"/>
      <c r="D138" s="606"/>
      <c r="E138" s="606"/>
      <c r="F138" s="606"/>
      <c r="G138" s="606"/>
      <c r="H138" s="607"/>
      <c r="I138" s="606"/>
      <c r="J138" s="606"/>
      <c r="K138" s="606"/>
      <c r="L138" s="606"/>
      <c r="M138" s="606"/>
      <c r="N138" s="608"/>
      <c r="O138" s="608"/>
      <c r="P138" s="608"/>
      <c r="Q138" s="608"/>
    </row>
    <row r="139" spans="2:17" ht="27.75" customHeight="1" x14ac:dyDescent="0.25">
      <c r="B139" s="606"/>
      <c r="C139" s="606"/>
      <c r="D139" s="606"/>
      <c r="E139" s="606"/>
      <c r="F139" s="606"/>
      <c r="G139" s="606"/>
      <c r="H139" s="607"/>
      <c r="I139" s="606"/>
      <c r="J139" s="606"/>
      <c r="K139" s="606"/>
      <c r="L139" s="606"/>
      <c r="M139" s="606"/>
      <c r="N139" s="608"/>
      <c r="O139" s="608"/>
      <c r="P139" s="608"/>
      <c r="Q139" s="608"/>
    </row>
    <row r="140" spans="2:17" ht="27.75" customHeight="1" x14ac:dyDescent="0.25">
      <c r="B140" s="606"/>
      <c r="C140" s="606"/>
      <c r="D140" s="606"/>
      <c r="E140" s="606"/>
      <c r="F140" s="606"/>
      <c r="G140" s="606"/>
      <c r="H140" s="607"/>
      <c r="I140" s="606"/>
      <c r="J140" s="606"/>
      <c r="K140" s="606"/>
      <c r="L140" s="606"/>
      <c r="M140" s="606"/>
      <c r="N140" s="608"/>
      <c r="O140" s="608"/>
      <c r="P140" s="608"/>
      <c r="Q140" s="608"/>
    </row>
    <row r="141" spans="2:17" ht="27.75" customHeight="1" x14ac:dyDescent="0.25">
      <c r="B141" s="606"/>
      <c r="C141" s="606"/>
      <c r="D141" s="606"/>
      <c r="E141" s="606"/>
      <c r="F141" s="606"/>
      <c r="G141" s="606"/>
      <c r="H141" s="607"/>
      <c r="I141" s="606"/>
      <c r="J141" s="606"/>
      <c r="K141" s="606"/>
      <c r="L141" s="606"/>
      <c r="M141" s="606"/>
      <c r="N141" s="608"/>
      <c r="O141" s="608"/>
      <c r="P141" s="608"/>
      <c r="Q141" s="608"/>
    </row>
    <row r="142" spans="2:17" ht="27.75" customHeight="1" x14ac:dyDescent="0.25">
      <c r="B142" s="606"/>
      <c r="C142" s="606"/>
      <c r="D142" s="606"/>
      <c r="E142" s="606"/>
      <c r="F142" s="606"/>
      <c r="G142" s="606"/>
      <c r="H142" s="607"/>
      <c r="I142" s="606"/>
      <c r="J142" s="606"/>
      <c r="K142" s="606"/>
      <c r="L142" s="606"/>
      <c r="M142" s="606"/>
      <c r="N142" s="608"/>
      <c r="O142" s="608"/>
      <c r="P142" s="608"/>
      <c r="Q142" s="608"/>
    </row>
    <row r="143" spans="2:17" ht="27.75" customHeight="1" x14ac:dyDescent="0.25">
      <c r="B143" s="606"/>
      <c r="C143" s="606"/>
      <c r="D143" s="606"/>
      <c r="E143" s="606"/>
      <c r="F143" s="606"/>
      <c r="G143" s="606"/>
      <c r="H143" s="607"/>
      <c r="I143" s="606"/>
      <c r="J143" s="606"/>
      <c r="K143" s="606"/>
      <c r="L143" s="606"/>
      <c r="M143" s="606"/>
      <c r="N143" s="608"/>
      <c r="O143" s="608"/>
      <c r="P143" s="608"/>
      <c r="Q143" s="608"/>
    </row>
    <row r="144" spans="2:17" ht="27.75" customHeight="1" x14ac:dyDescent="0.25">
      <c r="B144" s="606"/>
      <c r="C144" s="606"/>
      <c r="D144" s="606"/>
      <c r="E144" s="606"/>
      <c r="F144" s="606"/>
      <c r="G144" s="606"/>
      <c r="H144" s="607"/>
      <c r="I144" s="606"/>
      <c r="J144" s="606"/>
      <c r="K144" s="606"/>
      <c r="L144" s="606"/>
      <c r="M144" s="606"/>
      <c r="N144" s="608"/>
      <c r="O144" s="608"/>
      <c r="P144" s="608"/>
      <c r="Q144" s="608"/>
    </row>
    <row r="145" spans="2:17" ht="27.75" customHeight="1" x14ac:dyDescent="0.25">
      <c r="B145" s="606"/>
      <c r="C145" s="606"/>
      <c r="D145" s="606"/>
      <c r="E145" s="606"/>
      <c r="F145" s="606"/>
      <c r="G145" s="606"/>
      <c r="H145" s="607"/>
      <c r="I145" s="606"/>
      <c r="J145" s="606"/>
      <c r="K145" s="606"/>
      <c r="L145" s="606"/>
      <c r="M145" s="606"/>
      <c r="N145" s="608"/>
      <c r="O145" s="608"/>
      <c r="P145" s="608"/>
      <c r="Q145" s="608"/>
    </row>
    <row r="146" spans="2:17" ht="27.75" customHeight="1" x14ac:dyDescent="0.25">
      <c r="B146" s="606"/>
      <c r="C146" s="606"/>
      <c r="D146" s="606"/>
      <c r="E146" s="606"/>
      <c r="F146" s="606"/>
      <c r="G146" s="606"/>
      <c r="H146" s="607"/>
      <c r="I146" s="606"/>
      <c r="J146" s="606"/>
      <c r="K146" s="606"/>
      <c r="L146" s="606"/>
      <c r="M146" s="606"/>
      <c r="N146" s="608"/>
      <c r="O146" s="608"/>
      <c r="P146" s="608"/>
      <c r="Q146" s="608"/>
    </row>
    <row r="147" spans="2:17" ht="27.75" customHeight="1" x14ac:dyDescent="0.25">
      <c r="B147" s="606"/>
      <c r="C147" s="606"/>
      <c r="D147" s="606"/>
      <c r="E147" s="606"/>
      <c r="F147" s="606"/>
      <c r="G147" s="606"/>
      <c r="H147" s="607"/>
      <c r="I147" s="606"/>
      <c r="J147" s="606"/>
      <c r="K147" s="606"/>
      <c r="L147" s="606"/>
      <c r="M147" s="606"/>
      <c r="N147" s="608"/>
      <c r="O147" s="608"/>
      <c r="P147" s="608"/>
      <c r="Q147" s="608"/>
    </row>
    <row r="148" spans="2:17" ht="27.75" customHeight="1" x14ac:dyDescent="0.25">
      <c r="B148" s="606"/>
      <c r="C148" s="606"/>
      <c r="D148" s="606"/>
      <c r="E148" s="606"/>
      <c r="F148" s="606"/>
      <c r="G148" s="606"/>
      <c r="H148" s="607"/>
      <c r="I148" s="606"/>
      <c r="J148" s="606"/>
      <c r="K148" s="606"/>
      <c r="L148" s="606"/>
      <c r="M148" s="606"/>
      <c r="N148" s="608"/>
      <c r="O148" s="608"/>
      <c r="P148" s="608"/>
      <c r="Q148" s="608"/>
    </row>
    <row r="149" spans="2:17" ht="27.75" customHeight="1" x14ac:dyDescent="0.25">
      <c r="B149" s="606"/>
      <c r="C149" s="606"/>
      <c r="D149" s="606"/>
      <c r="E149" s="606"/>
      <c r="F149" s="606"/>
      <c r="G149" s="606"/>
      <c r="H149" s="607"/>
      <c r="I149" s="606"/>
      <c r="J149" s="606"/>
      <c r="K149" s="606"/>
      <c r="L149" s="606"/>
      <c r="M149" s="606"/>
      <c r="N149" s="608"/>
      <c r="O149" s="608"/>
      <c r="P149" s="608"/>
      <c r="Q149" s="608"/>
    </row>
    <row r="150" spans="2:17" ht="27.75" customHeight="1" x14ac:dyDescent="0.25">
      <c r="B150" s="606"/>
      <c r="C150" s="606"/>
      <c r="D150" s="606"/>
      <c r="E150" s="606"/>
      <c r="F150" s="606"/>
      <c r="G150" s="606"/>
      <c r="H150" s="607"/>
      <c r="I150" s="606"/>
      <c r="J150" s="606"/>
      <c r="K150" s="606"/>
      <c r="L150" s="606"/>
      <c r="M150" s="606"/>
      <c r="N150" s="608"/>
      <c r="O150" s="608"/>
      <c r="P150" s="608"/>
      <c r="Q150" s="608"/>
    </row>
    <row r="151" spans="2:17" ht="27.75" customHeight="1" x14ac:dyDescent="0.25">
      <c r="B151" s="606"/>
      <c r="C151" s="606"/>
      <c r="D151" s="606"/>
      <c r="E151" s="606"/>
      <c r="F151" s="606"/>
      <c r="G151" s="606"/>
      <c r="H151" s="607"/>
      <c r="I151" s="606"/>
      <c r="J151" s="606"/>
      <c r="K151" s="606"/>
      <c r="L151" s="606"/>
      <c r="M151" s="606"/>
      <c r="N151" s="608"/>
      <c r="O151" s="608"/>
      <c r="P151" s="608"/>
      <c r="Q151" s="608"/>
    </row>
    <row r="152" spans="2:17" ht="27.75" customHeight="1" x14ac:dyDescent="0.25">
      <c r="B152" s="606"/>
      <c r="C152" s="606"/>
      <c r="D152" s="606"/>
      <c r="E152" s="606"/>
      <c r="F152" s="606"/>
      <c r="G152" s="606"/>
      <c r="H152" s="607"/>
      <c r="I152" s="606"/>
      <c r="J152" s="606"/>
      <c r="K152" s="606"/>
      <c r="L152" s="606"/>
      <c r="M152" s="606"/>
      <c r="N152" s="608"/>
      <c r="O152" s="608"/>
      <c r="P152" s="608"/>
      <c r="Q152" s="608"/>
    </row>
    <row r="153" spans="2:17" ht="27.75" customHeight="1" x14ac:dyDescent="0.25">
      <c r="B153" s="606"/>
      <c r="C153" s="606"/>
      <c r="D153" s="606"/>
      <c r="E153" s="606"/>
      <c r="F153" s="606"/>
      <c r="G153" s="606"/>
      <c r="H153" s="607"/>
      <c r="I153" s="606"/>
      <c r="J153" s="606"/>
      <c r="K153" s="606"/>
      <c r="L153" s="606"/>
      <c r="M153" s="606"/>
      <c r="N153" s="608"/>
      <c r="O153" s="608"/>
      <c r="P153" s="608"/>
      <c r="Q153" s="608"/>
    </row>
    <row r="154" spans="2:17" ht="27.75" customHeight="1" x14ac:dyDescent="0.25">
      <c r="B154" s="606"/>
      <c r="C154" s="606"/>
      <c r="D154" s="606"/>
      <c r="E154" s="606"/>
      <c r="F154" s="606"/>
      <c r="G154" s="606"/>
      <c r="H154" s="607"/>
      <c r="I154" s="606"/>
      <c r="J154" s="606"/>
      <c r="K154" s="606"/>
      <c r="L154" s="606"/>
      <c r="M154" s="606"/>
      <c r="N154" s="608"/>
      <c r="O154" s="608"/>
      <c r="P154" s="608"/>
      <c r="Q154" s="608"/>
    </row>
    <row r="155" spans="2:17" ht="27.75" customHeight="1" x14ac:dyDescent="0.25">
      <c r="B155" s="606"/>
      <c r="C155" s="606"/>
      <c r="D155" s="606"/>
      <c r="E155" s="606"/>
      <c r="F155" s="606"/>
      <c r="G155" s="606"/>
      <c r="H155" s="607"/>
      <c r="I155" s="606"/>
      <c r="J155" s="606"/>
      <c r="K155" s="606"/>
      <c r="L155" s="606"/>
      <c r="M155" s="606"/>
      <c r="N155" s="608"/>
      <c r="O155" s="608"/>
      <c r="P155" s="608"/>
      <c r="Q155" s="608"/>
    </row>
    <row r="156" spans="2:17" ht="27.75" customHeight="1" x14ac:dyDescent="0.25">
      <c r="B156" s="606"/>
      <c r="C156" s="606"/>
      <c r="D156" s="606"/>
      <c r="E156" s="606"/>
      <c r="F156" s="606"/>
      <c r="G156" s="606"/>
      <c r="H156" s="607"/>
      <c r="I156" s="606"/>
      <c r="J156" s="606"/>
      <c r="K156" s="606"/>
      <c r="L156" s="606"/>
      <c r="M156" s="606"/>
      <c r="N156" s="608"/>
      <c r="O156" s="608"/>
      <c r="P156" s="608"/>
      <c r="Q156" s="608"/>
    </row>
    <row r="157" spans="2:17" ht="27.75" customHeight="1" x14ac:dyDescent="0.25">
      <c r="B157" s="606"/>
      <c r="C157" s="606"/>
      <c r="D157" s="606"/>
      <c r="E157" s="606"/>
      <c r="F157" s="606"/>
      <c r="G157" s="606"/>
      <c r="H157" s="607"/>
      <c r="I157" s="606"/>
      <c r="J157" s="606"/>
      <c r="K157" s="606"/>
      <c r="L157" s="606"/>
      <c r="M157" s="606"/>
      <c r="N157" s="608"/>
      <c r="O157" s="608"/>
      <c r="P157" s="608"/>
      <c r="Q157" s="608"/>
    </row>
    <row r="158" spans="2:17" ht="27.75" customHeight="1" x14ac:dyDescent="0.25">
      <c r="B158" s="606"/>
      <c r="C158" s="606"/>
      <c r="D158" s="606"/>
      <c r="E158" s="606"/>
      <c r="F158" s="606"/>
      <c r="G158" s="606"/>
      <c r="H158" s="607"/>
      <c r="I158" s="606"/>
      <c r="J158" s="606"/>
      <c r="K158" s="606"/>
      <c r="L158" s="606"/>
      <c r="M158" s="606"/>
      <c r="N158" s="608"/>
      <c r="O158" s="608"/>
      <c r="P158" s="608"/>
      <c r="Q158" s="608"/>
    </row>
    <row r="159" spans="2:17" ht="27.75" customHeight="1" x14ac:dyDescent="0.25">
      <c r="B159" s="606"/>
      <c r="C159" s="606"/>
      <c r="D159" s="606"/>
      <c r="E159" s="606"/>
      <c r="F159" s="606"/>
      <c r="G159" s="606"/>
      <c r="H159" s="607"/>
      <c r="I159" s="606"/>
      <c r="J159" s="606"/>
      <c r="K159" s="606"/>
      <c r="L159" s="606"/>
      <c r="M159" s="606"/>
      <c r="N159" s="608"/>
      <c r="O159" s="608"/>
      <c r="P159" s="608"/>
      <c r="Q159" s="608"/>
    </row>
    <row r="160" spans="2:17" ht="27.75" customHeight="1" x14ac:dyDescent="0.25">
      <c r="B160" s="606"/>
      <c r="C160" s="606"/>
      <c r="D160" s="606"/>
      <c r="E160" s="606"/>
      <c r="F160" s="606"/>
      <c r="G160" s="606"/>
      <c r="H160" s="607"/>
      <c r="I160" s="606"/>
      <c r="J160" s="606"/>
      <c r="K160" s="606"/>
      <c r="L160" s="606"/>
      <c r="M160" s="606"/>
      <c r="N160" s="608"/>
      <c r="O160" s="608"/>
      <c r="P160" s="608"/>
      <c r="Q160" s="608"/>
    </row>
    <row r="161" spans="2:17" ht="27.75" customHeight="1" x14ac:dyDescent="0.25">
      <c r="B161" s="606"/>
      <c r="C161" s="606"/>
      <c r="D161" s="606"/>
      <c r="E161" s="606"/>
      <c r="F161" s="606"/>
      <c r="G161" s="606"/>
      <c r="H161" s="607"/>
      <c r="I161" s="606"/>
      <c r="J161" s="606"/>
      <c r="K161" s="606"/>
      <c r="L161" s="606"/>
      <c r="M161" s="606"/>
      <c r="N161" s="608"/>
      <c r="O161" s="608"/>
      <c r="P161" s="608"/>
      <c r="Q161" s="608"/>
    </row>
    <row r="162" spans="2:17" ht="27.75" customHeight="1" x14ac:dyDescent="0.25">
      <c r="B162" s="606"/>
      <c r="C162" s="606"/>
      <c r="D162" s="606"/>
      <c r="E162" s="606"/>
      <c r="F162" s="606"/>
      <c r="G162" s="606"/>
      <c r="H162" s="607"/>
      <c r="I162" s="606"/>
      <c r="J162" s="606"/>
      <c r="K162" s="606"/>
      <c r="L162" s="606"/>
      <c r="M162" s="606"/>
      <c r="N162" s="608"/>
      <c r="O162" s="608"/>
      <c r="P162" s="608"/>
      <c r="Q162" s="608"/>
    </row>
    <row r="163" spans="2:17" ht="27.75" customHeight="1" x14ac:dyDescent="0.25">
      <c r="B163" s="606"/>
      <c r="C163" s="606"/>
      <c r="D163" s="606"/>
      <c r="E163" s="606"/>
      <c r="F163" s="606"/>
      <c r="G163" s="606"/>
      <c r="H163" s="607"/>
      <c r="I163" s="606"/>
      <c r="J163" s="606"/>
      <c r="K163" s="606"/>
      <c r="L163" s="606"/>
      <c r="M163" s="606"/>
      <c r="N163" s="608"/>
      <c r="O163" s="608"/>
      <c r="P163" s="608"/>
      <c r="Q163" s="608"/>
    </row>
    <row r="164" spans="2:17" ht="27.75" customHeight="1" x14ac:dyDescent="0.25">
      <c r="B164" s="606"/>
      <c r="C164" s="606"/>
      <c r="D164" s="606"/>
      <c r="E164" s="606"/>
      <c r="F164" s="606"/>
      <c r="G164" s="606"/>
      <c r="H164" s="607"/>
      <c r="I164" s="606"/>
      <c r="J164" s="606"/>
      <c r="K164" s="606"/>
      <c r="L164" s="606"/>
      <c r="M164" s="606"/>
      <c r="N164" s="608"/>
      <c r="O164" s="608"/>
      <c r="P164" s="608"/>
      <c r="Q164" s="608"/>
    </row>
    <row r="165" spans="2:17" ht="27.75" customHeight="1" x14ac:dyDescent="0.25">
      <c r="B165" s="606"/>
      <c r="C165" s="606"/>
      <c r="D165" s="606"/>
      <c r="E165" s="606"/>
      <c r="F165" s="606"/>
      <c r="G165" s="606"/>
      <c r="H165" s="607"/>
      <c r="I165" s="606"/>
      <c r="J165" s="606"/>
      <c r="K165" s="606"/>
      <c r="L165" s="606"/>
      <c r="M165" s="606"/>
      <c r="N165" s="608"/>
      <c r="O165" s="608"/>
      <c r="P165" s="608"/>
      <c r="Q165" s="608"/>
    </row>
    <row r="166" spans="2:17" ht="27.75" customHeight="1" x14ac:dyDescent="0.25">
      <c r="B166" s="606"/>
      <c r="C166" s="606"/>
      <c r="D166" s="606"/>
      <c r="E166" s="606"/>
      <c r="F166" s="606"/>
      <c r="G166" s="606"/>
      <c r="H166" s="607"/>
      <c r="I166" s="606"/>
      <c r="J166" s="606"/>
      <c r="K166" s="606"/>
      <c r="L166" s="606"/>
      <c r="M166" s="606"/>
      <c r="N166" s="608"/>
      <c r="O166" s="608"/>
      <c r="P166" s="608"/>
      <c r="Q166" s="608"/>
    </row>
    <row r="167" spans="2:17" ht="27.75" customHeight="1" x14ac:dyDescent="0.25">
      <c r="B167" s="606"/>
      <c r="C167" s="606"/>
      <c r="D167" s="606"/>
      <c r="E167" s="606"/>
      <c r="F167" s="606"/>
      <c r="G167" s="606"/>
      <c r="H167" s="607"/>
      <c r="I167" s="606"/>
      <c r="J167" s="606"/>
      <c r="K167" s="606"/>
      <c r="L167" s="606"/>
      <c r="M167" s="606"/>
      <c r="N167" s="608"/>
      <c r="O167" s="608"/>
      <c r="P167" s="608"/>
      <c r="Q167" s="608"/>
    </row>
    <row r="168" spans="2:17" ht="27.75" customHeight="1" x14ac:dyDescent="0.25">
      <c r="B168" s="606"/>
      <c r="C168" s="606"/>
      <c r="D168" s="606"/>
      <c r="E168" s="606"/>
      <c r="F168" s="606"/>
      <c r="G168" s="606"/>
      <c r="H168" s="607"/>
      <c r="I168" s="606"/>
      <c r="J168" s="606"/>
      <c r="K168" s="606"/>
      <c r="L168" s="606"/>
      <c r="M168" s="606"/>
      <c r="N168" s="608"/>
      <c r="O168" s="608"/>
      <c r="P168" s="608"/>
      <c r="Q168" s="608"/>
    </row>
    <row r="169" spans="2:17" ht="27.75" customHeight="1" x14ac:dyDescent="0.25">
      <c r="B169" s="606"/>
      <c r="C169" s="606"/>
      <c r="D169" s="606"/>
      <c r="E169" s="606"/>
      <c r="F169" s="606"/>
      <c r="G169" s="606"/>
      <c r="H169" s="607"/>
      <c r="I169" s="606"/>
      <c r="J169" s="606"/>
      <c r="K169" s="606"/>
      <c r="L169" s="606"/>
      <c r="M169" s="606"/>
      <c r="N169" s="608"/>
      <c r="O169" s="608"/>
      <c r="P169" s="608"/>
      <c r="Q169" s="608"/>
    </row>
    <row r="170" spans="2:17" ht="27.75" customHeight="1" x14ac:dyDescent="0.25">
      <c r="B170" s="606"/>
      <c r="C170" s="606"/>
      <c r="D170" s="606"/>
      <c r="E170" s="606"/>
      <c r="F170" s="606"/>
      <c r="G170" s="606"/>
      <c r="H170" s="607"/>
      <c r="I170" s="606"/>
      <c r="J170" s="606"/>
      <c r="K170" s="606"/>
      <c r="L170" s="606"/>
      <c r="M170" s="606"/>
      <c r="N170" s="608"/>
      <c r="O170" s="608"/>
      <c r="P170" s="608"/>
      <c r="Q170" s="608"/>
    </row>
    <row r="171" spans="2:17" ht="27.75" customHeight="1" x14ac:dyDescent="0.25">
      <c r="B171" s="606"/>
      <c r="C171" s="606"/>
      <c r="D171" s="606"/>
      <c r="E171" s="606"/>
      <c r="F171" s="606"/>
      <c r="G171" s="606"/>
      <c r="H171" s="607"/>
      <c r="I171" s="606"/>
      <c r="J171" s="606"/>
      <c r="K171" s="606"/>
      <c r="L171" s="606"/>
      <c r="M171" s="606"/>
      <c r="N171" s="608"/>
      <c r="O171" s="608"/>
      <c r="P171" s="608"/>
      <c r="Q171" s="608"/>
    </row>
    <row r="172" spans="2:17" ht="27.75" customHeight="1" x14ac:dyDescent="0.25">
      <c r="B172" s="606"/>
      <c r="C172" s="606"/>
      <c r="D172" s="606"/>
      <c r="E172" s="606"/>
      <c r="F172" s="606"/>
      <c r="G172" s="606"/>
      <c r="H172" s="607"/>
      <c r="I172" s="606"/>
      <c r="J172" s="606"/>
      <c r="K172" s="606"/>
      <c r="L172" s="606"/>
      <c r="M172" s="606"/>
      <c r="N172" s="608"/>
      <c r="O172" s="608"/>
      <c r="P172" s="608"/>
      <c r="Q172" s="608"/>
    </row>
    <row r="173" spans="2:17" ht="27.75" customHeight="1" x14ac:dyDescent="0.25">
      <c r="B173" s="606"/>
      <c r="C173" s="606"/>
      <c r="D173" s="606"/>
      <c r="E173" s="606"/>
      <c r="F173" s="606"/>
      <c r="G173" s="606"/>
      <c r="H173" s="607"/>
      <c r="I173" s="606"/>
      <c r="J173" s="606"/>
      <c r="K173" s="606"/>
      <c r="L173" s="606"/>
      <c r="M173" s="606"/>
      <c r="N173" s="608"/>
      <c r="O173" s="608"/>
      <c r="P173" s="608"/>
      <c r="Q173" s="608"/>
    </row>
    <row r="174" spans="2:17" ht="27.75" customHeight="1" x14ac:dyDescent="0.25">
      <c r="B174" s="606"/>
      <c r="C174" s="606"/>
      <c r="D174" s="606"/>
      <c r="E174" s="606"/>
      <c r="F174" s="606"/>
      <c r="G174" s="606"/>
      <c r="H174" s="607"/>
      <c r="I174" s="606"/>
      <c r="J174" s="606"/>
      <c r="K174" s="606"/>
      <c r="L174" s="606"/>
      <c r="M174" s="606"/>
      <c r="N174" s="608"/>
      <c r="O174" s="608"/>
      <c r="P174" s="608"/>
      <c r="Q174" s="608"/>
    </row>
    <row r="175" spans="2:17" ht="27.75" customHeight="1" x14ac:dyDescent="0.25">
      <c r="B175" s="606"/>
      <c r="C175" s="606"/>
      <c r="D175" s="606"/>
      <c r="E175" s="606"/>
      <c r="F175" s="606"/>
      <c r="G175" s="606"/>
      <c r="H175" s="607"/>
      <c r="I175" s="606"/>
      <c r="J175" s="606"/>
      <c r="K175" s="606"/>
      <c r="L175" s="606"/>
      <c r="M175" s="606"/>
      <c r="N175" s="608"/>
      <c r="O175" s="608"/>
      <c r="P175" s="608"/>
      <c r="Q175" s="608"/>
    </row>
    <row r="176" spans="2:17" ht="27.75" customHeight="1" x14ac:dyDescent="0.25">
      <c r="B176" s="606"/>
      <c r="C176" s="606"/>
      <c r="D176" s="606"/>
      <c r="E176" s="606"/>
      <c r="F176" s="606"/>
      <c r="G176" s="606"/>
      <c r="H176" s="607"/>
      <c r="I176" s="606"/>
      <c r="J176" s="606"/>
      <c r="K176" s="606"/>
      <c r="L176" s="606"/>
      <c r="M176" s="606"/>
      <c r="N176" s="608"/>
      <c r="O176" s="608"/>
      <c r="P176" s="608"/>
      <c r="Q176" s="608"/>
    </row>
    <row r="177" spans="2:17" ht="27.75" customHeight="1" x14ac:dyDescent="0.25">
      <c r="B177" s="606"/>
      <c r="C177" s="606"/>
      <c r="D177" s="606"/>
      <c r="E177" s="606"/>
      <c r="F177" s="606"/>
      <c r="G177" s="606"/>
      <c r="H177" s="607"/>
      <c r="I177" s="606"/>
      <c r="J177" s="606"/>
      <c r="K177" s="606"/>
      <c r="L177" s="606"/>
      <c r="M177" s="606"/>
      <c r="N177" s="608"/>
      <c r="O177" s="608"/>
      <c r="P177" s="608"/>
      <c r="Q177" s="608"/>
    </row>
    <row r="178" spans="2:17" ht="27.75" customHeight="1" x14ac:dyDescent="0.25">
      <c r="B178" s="606"/>
      <c r="C178" s="606"/>
      <c r="D178" s="606"/>
      <c r="E178" s="606"/>
      <c r="F178" s="606"/>
      <c r="G178" s="606"/>
      <c r="H178" s="607"/>
      <c r="I178" s="606"/>
      <c r="J178" s="606"/>
      <c r="K178" s="606"/>
      <c r="L178" s="606"/>
      <c r="M178" s="606"/>
      <c r="N178" s="608"/>
      <c r="O178" s="608"/>
      <c r="P178" s="608"/>
      <c r="Q178" s="608"/>
    </row>
    <row r="179" spans="2:17" ht="27.75" customHeight="1" x14ac:dyDescent="0.25">
      <c r="B179" s="606"/>
      <c r="C179" s="606"/>
      <c r="D179" s="606"/>
      <c r="E179" s="606"/>
      <c r="F179" s="606"/>
      <c r="G179" s="606"/>
      <c r="H179" s="607"/>
      <c r="I179" s="606"/>
      <c r="J179" s="606"/>
      <c r="K179" s="606"/>
      <c r="L179" s="606"/>
      <c r="M179" s="606"/>
      <c r="N179" s="608"/>
      <c r="O179" s="608"/>
      <c r="P179" s="608"/>
      <c r="Q179" s="608"/>
    </row>
    <row r="180" spans="2:17" ht="27.75" customHeight="1" x14ac:dyDescent="0.25">
      <c r="B180" s="606"/>
      <c r="C180" s="606"/>
      <c r="D180" s="606"/>
      <c r="E180" s="606"/>
      <c r="F180" s="606"/>
      <c r="G180" s="606"/>
      <c r="H180" s="607"/>
      <c r="I180" s="606"/>
      <c r="J180" s="606"/>
      <c r="K180" s="606"/>
      <c r="L180" s="606"/>
      <c r="M180" s="606"/>
      <c r="N180" s="608"/>
      <c r="O180" s="608"/>
      <c r="P180" s="608"/>
      <c r="Q180" s="608"/>
    </row>
    <row r="181" spans="2:17" ht="27.75" customHeight="1" x14ac:dyDescent="0.25">
      <c r="B181" s="606"/>
      <c r="C181" s="606"/>
      <c r="D181" s="606"/>
      <c r="E181" s="606"/>
      <c r="F181" s="606"/>
      <c r="G181" s="606"/>
      <c r="H181" s="607"/>
      <c r="I181" s="606"/>
      <c r="J181" s="606"/>
      <c r="K181" s="606"/>
      <c r="L181" s="606"/>
      <c r="M181" s="606"/>
      <c r="N181" s="608"/>
      <c r="O181" s="608"/>
      <c r="P181" s="608"/>
      <c r="Q181" s="608"/>
    </row>
    <row r="182" spans="2:17" ht="27.75" customHeight="1" x14ac:dyDescent="0.25">
      <c r="B182" s="606"/>
      <c r="C182" s="606"/>
      <c r="D182" s="606"/>
      <c r="E182" s="606"/>
      <c r="F182" s="606"/>
      <c r="G182" s="606"/>
      <c r="H182" s="607"/>
      <c r="I182" s="606"/>
      <c r="J182" s="606"/>
      <c r="K182" s="606"/>
      <c r="L182" s="606"/>
      <c r="M182" s="606"/>
      <c r="N182" s="608"/>
      <c r="O182" s="608"/>
      <c r="P182" s="608"/>
      <c r="Q182" s="608"/>
    </row>
    <row r="183" spans="2:17" ht="27.75" customHeight="1" x14ac:dyDescent="0.25">
      <c r="B183" s="606"/>
      <c r="C183" s="606"/>
      <c r="D183" s="606"/>
      <c r="E183" s="606"/>
      <c r="F183" s="606"/>
      <c r="G183" s="606"/>
      <c r="H183" s="607"/>
      <c r="I183" s="606"/>
      <c r="J183" s="606"/>
      <c r="K183" s="606"/>
      <c r="L183" s="606"/>
      <c r="M183" s="606"/>
      <c r="N183" s="608"/>
      <c r="O183" s="608"/>
      <c r="P183" s="608"/>
      <c r="Q183" s="608"/>
    </row>
    <row r="184" spans="2:17" ht="27.75" customHeight="1" x14ac:dyDescent="0.25">
      <c r="B184" s="606"/>
      <c r="C184" s="606"/>
      <c r="D184" s="606"/>
      <c r="E184" s="606"/>
      <c r="F184" s="606"/>
      <c r="G184" s="606"/>
      <c r="H184" s="607"/>
      <c r="I184" s="606"/>
      <c r="J184" s="606"/>
      <c r="K184" s="606"/>
      <c r="L184" s="606"/>
      <c r="M184" s="606"/>
      <c r="N184" s="608"/>
      <c r="O184" s="608"/>
      <c r="P184" s="608"/>
      <c r="Q184" s="608"/>
    </row>
    <row r="185" spans="2:17" ht="27.75" customHeight="1" x14ac:dyDescent="0.25">
      <c r="B185" s="606"/>
      <c r="C185" s="606"/>
      <c r="D185" s="606"/>
      <c r="E185" s="606"/>
      <c r="F185" s="606"/>
      <c r="G185" s="606"/>
      <c r="H185" s="607"/>
      <c r="I185" s="606"/>
      <c r="J185" s="606"/>
      <c r="K185" s="606"/>
      <c r="L185" s="606"/>
      <c r="M185" s="606"/>
      <c r="N185" s="608"/>
      <c r="O185" s="608"/>
      <c r="P185" s="608"/>
      <c r="Q185" s="608"/>
    </row>
    <row r="186" spans="2:17" ht="27.75" customHeight="1" x14ac:dyDescent="0.25">
      <c r="B186" s="606"/>
      <c r="C186" s="606"/>
      <c r="D186" s="606"/>
      <c r="E186" s="606"/>
      <c r="F186" s="606"/>
      <c r="G186" s="606"/>
      <c r="H186" s="607"/>
      <c r="I186" s="606"/>
      <c r="J186" s="606"/>
      <c r="K186" s="606"/>
      <c r="L186" s="606"/>
      <c r="M186" s="606"/>
      <c r="N186" s="608"/>
      <c r="O186" s="608"/>
      <c r="P186" s="608"/>
      <c r="Q186" s="608"/>
    </row>
    <row r="187" spans="2:17" ht="27.75" customHeight="1" x14ac:dyDescent="0.25">
      <c r="B187" s="606"/>
      <c r="C187" s="606"/>
      <c r="D187" s="606"/>
      <c r="E187" s="606"/>
      <c r="F187" s="606"/>
      <c r="G187" s="606"/>
      <c r="H187" s="607"/>
      <c r="I187" s="606"/>
      <c r="J187" s="606"/>
      <c r="K187" s="606"/>
      <c r="L187" s="606"/>
      <c r="M187" s="606"/>
      <c r="N187" s="608"/>
      <c r="O187" s="608"/>
      <c r="P187" s="608"/>
      <c r="Q187" s="608"/>
    </row>
    <row r="188" spans="2:17" ht="27.75" customHeight="1" x14ac:dyDescent="0.25">
      <c r="B188" s="606"/>
      <c r="C188" s="606"/>
      <c r="D188" s="606"/>
      <c r="E188" s="606"/>
      <c r="F188" s="606"/>
      <c r="G188" s="606"/>
      <c r="H188" s="607"/>
      <c r="I188" s="606"/>
      <c r="J188" s="606"/>
      <c r="K188" s="606"/>
      <c r="L188" s="606"/>
      <c r="M188" s="606"/>
      <c r="N188" s="608"/>
      <c r="O188" s="608"/>
      <c r="P188" s="608"/>
      <c r="Q188" s="608"/>
    </row>
    <row r="189" spans="2:17" ht="27.75" customHeight="1" x14ac:dyDescent="0.25">
      <c r="B189" s="606"/>
      <c r="C189" s="606"/>
      <c r="D189" s="606"/>
      <c r="E189" s="606"/>
      <c r="F189" s="606"/>
      <c r="G189" s="606"/>
      <c r="H189" s="607"/>
      <c r="I189" s="606"/>
      <c r="J189" s="606"/>
      <c r="K189" s="606"/>
      <c r="L189" s="606"/>
      <c r="M189" s="606"/>
      <c r="N189" s="608"/>
      <c r="O189" s="608"/>
      <c r="P189" s="608"/>
      <c r="Q189" s="608"/>
    </row>
    <row r="190" spans="2:17" ht="27.75" customHeight="1" x14ac:dyDescent="0.25">
      <c r="B190" s="606"/>
      <c r="C190" s="606"/>
      <c r="D190" s="606"/>
      <c r="E190" s="606"/>
      <c r="F190" s="606"/>
      <c r="G190" s="606"/>
      <c r="H190" s="607"/>
      <c r="I190" s="606"/>
      <c r="J190" s="606"/>
      <c r="K190" s="606"/>
      <c r="L190" s="606"/>
      <c r="M190" s="606"/>
      <c r="N190" s="608"/>
      <c r="O190" s="608"/>
      <c r="P190" s="608"/>
      <c r="Q190" s="608"/>
    </row>
    <row r="191" spans="2:17" ht="27.75" customHeight="1" x14ac:dyDescent="0.25">
      <c r="B191" s="606"/>
      <c r="C191" s="606"/>
      <c r="D191" s="606"/>
      <c r="E191" s="606"/>
      <c r="F191" s="606"/>
      <c r="G191" s="606"/>
      <c r="H191" s="607"/>
      <c r="I191" s="606"/>
      <c r="J191" s="606"/>
      <c r="K191" s="606"/>
      <c r="L191" s="606"/>
      <c r="M191" s="606"/>
      <c r="N191" s="608"/>
      <c r="O191" s="608"/>
      <c r="P191" s="608"/>
      <c r="Q191" s="608"/>
    </row>
    <row r="192" spans="2:17" ht="27.75" customHeight="1" x14ac:dyDescent="0.25">
      <c r="B192" s="606"/>
      <c r="C192" s="606"/>
      <c r="D192" s="606"/>
      <c r="E192" s="606"/>
      <c r="F192" s="606"/>
      <c r="G192" s="606"/>
      <c r="H192" s="607"/>
      <c r="I192" s="606"/>
      <c r="J192" s="606"/>
      <c r="K192" s="606"/>
      <c r="L192" s="606"/>
      <c r="M192" s="606"/>
      <c r="N192" s="608"/>
      <c r="O192" s="608"/>
      <c r="P192" s="608"/>
      <c r="Q192" s="608"/>
    </row>
    <row r="193" spans="2:17" ht="27.75" customHeight="1" x14ac:dyDescent="0.25">
      <c r="B193" s="606"/>
      <c r="C193" s="606"/>
      <c r="D193" s="606"/>
      <c r="E193" s="606"/>
      <c r="F193" s="606"/>
      <c r="G193" s="606"/>
      <c r="H193" s="607"/>
      <c r="I193" s="606"/>
      <c r="J193" s="606"/>
      <c r="K193" s="606"/>
      <c r="L193" s="606"/>
      <c r="M193" s="606"/>
      <c r="N193" s="608"/>
      <c r="O193" s="608"/>
      <c r="P193" s="608"/>
      <c r="Q193" s="608"/>
    </row>
    <row r="194" spans="2:17" ht="27.75" customHeight="1" x14ac:dyDescent="0.25">
      <c r="B194" s="606"/>
      <c r="C194" s="606"/>
      <c r="D194" s="606"/>
      <c r="E194" s="606"/>
      <c r="F194" s="606"/>
      <c r="G194" s="606"/>
      <c r="H194" s="607"/>
      <c r="I194" s="606"/>
      <c r="J194" s="606"/>
      <c r="K194" s="606"/>
      <c r="L194" s="606"/>
      <c r="M194" s="606"/>
      <c r="N194" s="608"/>
      <c r="O194" s="608"/>
      <c r="P194" s="608"/>
      <c r="Q194" s="608"/>
    </row>
    <row r="195" spans="2:17" ht="27.75" customHeight="1" x14ac:dyDescent="0.25">
      <c r="B195" s="606"/>
      <c r="C195" s="606"/>
      <c r="D195" s="606"/>
      <c r="E195" s="606"/>
      <c r="F195" s="606"/>
      <c r="G195" s="606"/>
      <c r="H195" s="607"/>
      <c r="I195" s="606"/>
      <c r="J195" s="606"/>
      <c r="K195" s="606"/>
      <c r="L195" s="606"/>
      <c r="M195" s="606"/>
      <c r="N195" s="608"/>
      <c r="O195" s="608"/>
      <c r="P195" s="608"/>
      <c r="Q195" s="608"/>
    </row>
    <row r="196" spans="2:17" ht="27.75" customHeight="1" x14ac:dyDescent="0.25">
      <c r="B196" s="606"/>
      <c r="C196" s="606"/>
      <c r="D196" s="606"/>
      <c r="E196" s="606"/>
      <c r="F196" s="606"/>
      <c r="G196" s="606"/>
      <c r="H196" s="607"/>
      <c r="I196" s="606"/>
      <c r="J196" s="606"/>
      <c r="K196" s="606"/>
      <c r="L196" s="606"/>
      <c r="M196" s="606"/>
      <c r="N196" s="608"/>
      <c r="O196" s="608"/>
      <c r="P196" s="608"/>
      <c r="Q196" s="608"/>
    </row>
    <row r="197" spans="2:17" ht="27.75" customHeight="1" x14ac:dyDescent="0.25">
      <c r="B197" s="606"/>
      <c r="C197" s="606"/>
      <c r="D197" s="606"/>
      <c r="E197" s="606"/>
      <c r="F197" s="606"/>
      <c r="G197" s="606"/>
      <c r="H197" s="607"/>
      <c r="I197" s="606"/>
      <c r="J197" s="606"/>
      <c r="K197" s="606"/>
      <c r="L197" s="606"/>
      <c r="M197" s="606"/>
      <c r="N197" s="608"/>
      <c r="O197" s="608"/>
      <c r="P197" s="608"/>
      <c r="Q197" s="608"/>
    </row>
    <row r="198" spans="2:17" ht="27.75" customHeight="1" x14ac:dyDescent="0.25">
      <c r="B198" s="606"/>
      <c r="C198" s="606"/>
      <c r="D198" s="606"/>
      <c r="E198" s="606"/>
      <c r="F198" s="606"/>
      <c r="G198" s="606"/>
      <c r="H198" s="607"/>
      <c r="I198" s="606"/>
      <c r="J198" s="606"/>
      <c r="K198" s="606"/>
      <c r="L198" s="606"/>
      <c r="M198" s="606"/>
      <c r="N198" s="608"/>
      <c r="O198" s="608"/>
      <c r="P198" s="608"/>
      <c r="Q198" s="608"/>
    </row>
    <row r="199" spans="2:17" ht="27.75" customHeight="1" x14ac:dyDescent="0.25">
      <c r="B199" s="606"/>
      <c r="C199" s="606"/>
      <c r="D199" s="606"/>
      <c r="E199" s="606"/>
      <c r="F199" s="606"/>
      <c r="G199" s="606"/>
      <c r="H199" s="607"/>
      <c r="I199" s="606"/>
      <c r="J199" s="606"/>
      <c r="K199" s="606"/>
      <c r="L199" s="606"/>
      <c r="M199" s="606"/>
      <c r="N199" s="608"/>
      <c r="O199" s="608"/>
      <c r="P199" s="608"/>
      <c r="Q199" s="608"/>
    </row>
    <row r="200" spans="2:17" ht="27.75" customHeight="1" x14ac:dyDescent="0.25">
      <c r="B200" s="606"/>
      <c r="C200" s="606"/>
      <c r="D200" s="606"/>
      <c r="E200" s="606"/>
      <c r="F200" s="606"/>
      <c r="G200" s="606"/>
      <c r="H200" s="607"/>
      <c r="I200" s="606"/>
      <c r="J200" s="606"/>
      <c r="K200" s="606"/>
      <c r="L200" s="606"/>
      <c r="M200" s="606"/>
      <c r="N200" s="608"/>
      <c r="O200" s="608"/>
      <c r="P200" s="608"/>
      <c r="Q200" s="608"/>
    </row>
    <row r="201" spans="2:17" ht="27.75" customHeight="1" x14ac:dyDescent="0.25">
      <c r="B201" s="606"/>
      <c r="C201" s="606"/>
      <c r="D201" s="606"/>
      <c r="E201" s="606"/>
      <c r="F201" s="606"/>
      <c r="G201" s="606"/>
      <c r="H201" s="607"/>
      <c r="I201" s="606"/>
      <c r="J201" s="606"/>
      <c r="K201" s="606"/>
      <c r="L201" s="606"/>
      <c r="M201" s="606"/>
      <c r="N201" s="608"/>
      <c r="O201" s="608"/>
      <c r="P201" s="608"/>
      <c r="Q201" s="608"/>
    </row>
    <row r="202" spans="2:17" ht="27.75" customHeight="1" x14ac:dyDescent="0.25">
      <c r="B202" s="606"/>
      <c r="C202" s="606"/>
      <c r="D202" s="606"/>
      <c r="E202" s="606"/>
      <c r="F202" s="606"/>
      <c r="G202" s="606"/>
      <c r="H202" s="607"/>
      <c r="I202" s="606"/>
      <c r="J202" s="606"/>
      <c r="K202" s="606"/>
      <c r="L202" s="606"/>
      <c r="M202" s="606"/>
      <c r="N202" s="608"/>
      <c r="O202" s="608"/>
      <c r="P202" s="608"/>
      <c r="Q202" s="608"/>
    </row>
    <row r="203" spans="2:17" ht="27.75" customHeight="1" x14ac:dyDescent="0.25">
      <c r="B203" s="606"/>
      <c r="C203" s="606"/>
      <c r="D203" s="606"/>
      <c r="E203" s="606"/>
      <c r="F203" s="606"/>
      <c r="G203" s="606"/>
      <c r="H203" s="607"/>
      <c r="I203" s="606"/>
      <c r="J203" s="606"/>
      <c r="K203" s="606"/>
      <c r="L203" s="606"/>
      <c r="M203" s="606"/>
      <c r="N203" s="608"/>
      <c r="O203" s="608"/>
      <c r="P203" s="608"/>
      <c r="Q203" s="608"/>
    </row>
    <row r="204" spans="2:17" ht="27.75" customHeight="1" x14ac:dyDescent="0.25">
      <c r="B204" s="606"/>
      <c r="C204" s="606"/>
      <c r="D204" s="606"/>
      <c r="E204" s="606"/>
      <c r="F204" s="606"/>
      <c r="G204" s="606"/>
      <c r="H204" s="607"/>
      <c r="I204" s="606"/>
      <c r="J204" s="606"/>
      <c r="K204" s="606"/>
      <c r="L204" s="606"/>
      <c r="M204" s="606"/>
      <c r="N204" s="608"/>
      <c r="O204" s="608"/>
      <c r="P204" s="608"/>
      <c r="Q204" s="608"/>
    </row>
    <row r="205" spans="2:17" ht="27.75" customHeight="1" x14ac:dyDescent="0.25">
      <c r="B205" s="606"/>
      <c r="C205" s="606"/>
      <c r="D205" s="606"/>
      <c r="E205" s="606"/>
      <c r="F205" s="606"/>
      <c r="G205" s="606"/>
      <c r="H205" s="607"/>
      <c r="I205" s="606"/>
      <c r="J205" s="606"/>
      <c r="K205" s="606"/>
      <c r="L205" s="606"/>
      <c r="M205" s="606"/>
      <c r="N205" s="608"/>
      <c r="O205" s="608"/>
      <c r="P205" s="608"/>
      <c r="Q205" s="608"/>
    </row>
    <row r="206" spans="2:17" ht="27.75" customHeight="1" x14ac:dyDescent="0.25">
      <c r="B206" s="606"/>
      <c r="C206" s="606"/>
      <c r="D206" s="606"/>
      <c r="E206" s="606"/>
      <c r="F206" s="606"/>
      <c r="G206" s="606"/>
      <c r="H206" s="607"/>
      <c r="I206" s="606"/>
      <c r="J206" s="606"/>
      <c r="K206" s="606"/>
      <c r="L206" s="606"/>
      <c r="M206" s="606"/>
      <c r="N206" s="608"/>
      <c r="O206" s="608"/>
      <c r="P206" s="608"/>
      <c r="Q206" s="608"/>
    </row>
    <row r="207" spans="2:17" ht="27.75" customHeight="1" x14ac:dyDescent="0.25">
      <c r="B207" s="606"/>
      <c r="C207" s="606"/>
      <c r="D207" s="606"/>
      <c r="E207" s="606"/>
      <c r="F207" s="606"/>
      <c r="G207" s="606"/>
      <c r="H207" s="607"/>
      <c r="I207" s="606"/>
      <c r="J207" s="606"/>
      <c r="K207" s="606"/>
      <c r="L207" s="606"/>
      <c r="M207" s="606"/>
      <c r="N207" s="608"/>
      <c r="O207" s="608"/>
      <c r="P207" s="608"/>
      <c r="Q207" s="608"/>
    </row>
    <row r="208" spans="2:17" ht="27.75" customHeight="1" x14ac:dyDescent="0.25">
      <c r="B208" s="606"/>
      <c r="C208" s="606"/>
      <c r="D208" s="606"/>
      <c r="E208" s="606"/>
      <c r="F208" s="606"/>
      <c r="G208" s="606"/>
      <c r="H208" s="607"/>
      <c r="I208" s="606"/>
      <c r="J208" s="606"/>
      <c r="K208" s="606"/>
      <c r="L208" s="606"/>
      <c r="M208" s="606"/>
      <c r="N208" s="608"/>
      <c r="O208" s="608"/>
      <c r="P208" s="608"/>
      <c r="Q208" s="608"/>
    </row>
    <row r="209" spans="2:17" ht="27.75" customHeight="1" x14ac:dyDescent="0.25">
      <c r="B209" s="606"/>
      <c r="C209" s="606"/>
      <c r="D209" s="606"/>
      <c r="E209" s="606"/>
      <c r="F209" s="606"/>
      <c r="G209" s="606"/>
      <c r="H209" s="607"/>
      <c r="I209" s="606"/>
      <c r="J209" s="606"/>
      <c r="K209" s="606"/>
      <c r="L209" s="606"/>
      <c r="M209" s="606"/>
      <c r="N209" s="608"/>
      <c r="O209" s="608"/>
      <c r="P209" s="608"/>
      <c r="Q209" s="608"/>
    </row>
    <row r="210" spans="2:17" ht="27.75" customHeight="1" x14ac:dyDescent="0.25">
      <c r="B210" s="606"/>
      <c r="C210" s="606"/>
      <c r="D210" s="606"/>
      <c r="E210" s="606"/>
      <c r="F210" s="606"/>
      <c r="G210" s="606"/>
      <c r="H210" s="607"/>
      <c r="I210" s="606"/>
      <c r="J210" s="606"/>
      <c r="K210" s="606"/>
      <c r="L210" s="606"/>
      <c r="M210" s="606"/>
      <c r="N210" s="608"/>
      <c r="O210" s="608"/>
      <c r="P210" s="608"/>
      <c r="Q210" s="608"/>
    </row>
    <row r="211" spans="2:17" ht="27.75" customHeight="1" x14ac:dyDescent="0.25">
      <c r="B211" s="606"/>
      <c r="C211" s="606"/>
      <c r="D211" s="606"/>
      <c r="E211" s="606"/>
      <c r="F211" s="606"/>
      <c r="G211" s="606"/>
      <c r="H211" s="607"/>
      <c r="I211" s="606"/>
      <c r="J211" s="606"/>
      <c r="K211" s="606"/>
      <c r="L211" s="606"/>
      <c r="M211" s="606"/>
      <c r="N211" s="608"/>
      <c r="O211" s="608"/>
      <c r="P211" s="608"/>
      <c r="Q211" s="608"/>
    </row>
    <row r="212" spans="2:17" ht="27.75" customHeight="1" x14ac:dyDescent="0.25">
      <c r="B212" s="606"/>
      <c r="C212" s="606"/>
      <c r="D212" s="606"/>
      <c r="E212" s="606"/>
      <c r="F212" s="606"/>
      <c r="G212" s="606"/>
      <c r="H212" s="607"/>
      <c r="I212" s="606"/>
      <c r="J212" s="606"/>
      <c r="K212" s="606"/>
      <c r="L212" s="606"/>
      <c r="M212" s="606"/>
      <c r="N212" s="608"/>
      <c r="O212" s="608"/>
      <c r="P212" s="608"/>
      <c r="Q212" s="608"/>
    </row>
    <row r="213" spans="2:17" ht="27.75" customHeight="1" x14ac:dyDescent="0.25">
      <c r="B213" s="606"/>
      <c r="C213" s="606"/>
      <c r="D213" s="606"/>
      <c r="E213" s="606"/>
      <c r="F213" s="606"/>
      <c r="G213" s="606"/>
      <c r="H213" s="607"/>
      <c r="I213" s="606"/>
      <c r="J213" s="606"/>
      <c r="K213" s="606"/>
      <c r="L213" s="606"/>
      <c r="M213" s="606"/>
      <c r="N213" s="608"/>
      <c r="O213" s="608"/>
      <c r="P213" s="608"/>
      <c r="Q213" s="608"/>
    </row>
    <row r="214" spans="2:17" ht="27.75" customHeight="1" x14ac:dyDescent="0.25">
      <c r="B214" s="606"/>
      <c r="C214" s="606"/>
      <c r="D214" s="606"/>
      <c r="E214" s="606"/>
      <c r="F214" s="606"/>
      <c r="G214" s="606"/>
      <c r="H214" s="607"/>
      <c r="I214" s="606"/>
      <c r="J214" s="606"/>
      <c r="K214" s="606"/>
      <c r="L214" s="606"/>
      <c r="M214" s="606"/>
      <c r="N214" s="608"/>
      <c r="O214" s="608"/>
      <c r="P214" s="608"/>
      <c r="Q214" s="608"/>
    </row>
    <row r="215" spans="2:17" ht="27.75" customHeight="1" x14ac:dyDescent="0.25">
      <c r="B215" s="606"/>
      <c r="C215" s="606"/>
      <c r="D215" s="606"/>
      <c r="E215" s="606"/>
      <c r="F215" s="606"/>
      <c r="G215" s="606"/>
      <c r="H215" s="607"/>
      <c r="I215" s="606"/>
      <c r="J215" s="606"/>
      <c r="K215" s="606"/>
      <c r="L215" s="606"/>
      <c r="M215" s="606"/>
      <c r="N215" s="608"/>
      <c r="O215" s="608"/>
      <c r="P215" s="608"/>
      <c r="Q215" s="608"/>
    </row>
    <row r="216" spans="2:17" ht="27.75" customHeight="1" x14ac:dyDescent="0.25">
      <c r="B216" s="606"/>
      <c r="C216" s="606"/>
      <c r="D216" s="606"/>
      <c r="E216" s="606"/>
      <c r="F216" s="606"/>
      <c r="G216" s="606"/>
      <c r="H216" s="607"/>
      <c r="I216" s="606"/>
      <c r="J216" s="606"/>
      <c r="K216" s="606"/>
      <c r="L216" s="606"/>
      <c r="M216" s="606"/>
      <c r="N216" s="608"/>
      <c r="O216" s="608"/>
      <c r="P216" s="608"/>
      <c r="Q216" s="608"/>
    </row>
    <row r="217" spans="2:17" ht="27.75" customHeight="1" x14ac:dyDescent="0.25">
      <c r="B217" s="606"/>
      <c r="C217" s="606"/>
      <c r="D217" s="606"/>
      <c r="E217" s="606"/>
      <c r="F217" s="606"/>
      <c r="G217" s="606"/>
      <c r="H217" s="607"/>
      <c r="I217" s="606"/>
      <c r="J217" s="606"/>
      <c r="K217" s="606"/>
      <c r="L217" s="606"/>
      <c r="M217" s="606"/>
      <c r="N217" s="608"/>
      <c r="O217" s="608"/>
      <c r="P217" s="608"/>
      <c r="Q217" s="608"/>
    </row>
    <row r="218" spans="2:17" ht="27.75" customHeight="1" x14ac:dyDescent="0.25">
      <c r="B218" s="606"/>
      <c r="C218" s="606"/>
      <c r="D218" s="606"/>
      <c r="E218" s="606"/>
      <c r="F218" s="606"/>
      <c r="G218" s="606"/>
      <c r="H218" s="607"/>
      <c r="I218" s="606"/>
      <c r="J218" s="606"/>
      <c r="K218" s="606"/>
      <c r="L218" s="606"/>
      <c r="M218" s="606"/>
      <c r="N218" s="608"/>
      <c r="O218" s="608"/>
      <c r="P218" s="608"/>
      <c r="Q218" s="608"/>
    </row>
    <row r="219" spans="2:17" ht="27.75" customHeight="1" x14ac:dyDescent="0.25">
      <c r="B219" s="606"/>
      <c r="C219" s="606"/>
      <c r="D219" s="606"/>
      <c r="E219" s="606"/>
      <c r="F219" s="606"/>
      <c r="G219" s="606"/>
      <c r="H219" s="607"/>
      <c r="I219" s="606"/>
      <c r="J219" s="606"/>
      <c r="K219" s="606"/>
      <c r="L219" s="606"/>
      <c r="M219" s="606"/>
      <c r="N219" s="608"/>
      <c r="O219" s="608"/>
      <c r="P219" s="608"/>
      <c r="Q219" s="608"/>
    </row>
    <row r="220" spans="2:17" ht="27.75" customHeight="1" x14ac:dyDescent="0.25">
      <c r="B220" s="606"/>
      <c r="C220" s="606"/>
      <c r="D220" s="606"/>
      <c r="E220" s="606"/>
      <c r="F220" s="606"/>
      <c r="G220" s="606"/>
      <c r="H220" s="607"/>
      <c r="I220" s="606"/>
      <c r="J220" s="606"/>
      <c r="K220" s="606"/>
      <c r="L220" s="606"/>
      <c r="M220" s="606"/>
      <c r="N220" s="608"/>
      <c r="O220" s="608"/>
      <c r="P220" s="608"/>
      <c r="Q220" s="608"/>
    </row>
    <row r="221" spans="2:17" ht="27.75" customHeight="1" x14ac:dyDescent="0.25">
      <c r="B221" s="606"/>
      <c r="C221" s="606"/>
      <c r="D221" s="606"/>
      <c r="E221" s="606"/>
      <c r="F221" s="606"/>
      <c r="G221" s="606"/>
      <c r="H221" s="607"/>
      <c r="I221" s="606"/>
      <c r="J221" s="606"/>
      <c r="K221" s="606"/>
      <c r="L221" s="606"/>
      <c r="M221" s="606"/>
      <c r="N221" s="608"/>
      <c r="O221" s="608"/>
      <c r="P221" s="608"/>
      <c r="Q221" s="608"/>
    </row>
    <row r="222" spans="2:17" ht="27.75" customHeight="1" x14ac:dyDescent="0.25">
      <c r="B222" s="606"/>
      <c r="C222" s="606"/>
      <c r="D222" s="606"/>
      <c r="E222" s="606"/>
      <c r="F222" s="606"/>
      <c r="G222" s="606"/>
      <c r="H222" s="607"/>
      <c r="I222" s="606"/>
      <c r="J222" s="606"/>
      <c r="K222" s="606"/>
      <c r="L222" s="606"/>
      <c r="M222" s="606"/>
      <c r="N222" s="608"/>
      <c r="O222" s="608"/>
      <c r="P222" s="608"/>
      <c r="Q222" s="608"/>
    </row>
    <row r="223" spans="2:17" ht="27.75" customHeight="1" x14ac:dyDescent="0.25">
      <c r="B223" s="606"/>
      <c r="C223" s="606"/>
      <c r="D223" s="606"/>
      <c r="E223" s="606"/>
      <c r="F223" s="606"/>
      <c r="G223" s="606"/>
      <c r="H223" s="607"/>
      <c r="I223" s="606"/>
      <c r="J223" s="606"/>
      <c r="K223" s="606"/>
      <c r="L223" s="606"/>
      <c r="M223" s="606"/>
      <c r="N223" s="608"/>
      <c r="O223" s="608"/>
      <c r="P223" s="608"/>
      <c r="Q223" s="608"/>
    </row>
    <row r="224" spans="2:17" ht="27.75" customHeight="1" x14ac:dyDescent="0.25">
      <c r="B224" s="606"/>
      <c r="C224" s="606"/>
      <c r="D224" s="606"/>
      <c r="E224" s="606"/>
      <c r="F224" s="606"/>
      <c r="G224" s="606"/>
      <c r="H224" s="607"/>
      <c r="I224" s="606"/>
      <c r="J224" s="606"/>
      <c r="K224" s="606"/>
      <c r="L224" s="606"/>
      <c r="M224" s="606"/>
      <c r="N224" s="608"/>
      <c r="O224" s="608"/>
      <c r="P224" s="608"/>
      <c r="Q224" s="608"/>
    </row>
    <row r="225" spans="2:17" ht="27.75" customHeight="1" x14ac:dyDescent="0.25">
      <c r="B225" s="606"/>
      <c r="C225" s="606"/>
      <c r="D225" s="606"/>
      <c r="E225" s="606"/>
      <c r="F225" s="606"/>
      <c r="G225" s="606"/>
      <c r="H225" s="607"/>
      <c r="I225" s="606"/>
      <c r="J225" s="606"/>
      <c r="K225" s="606"/>
      <c r="L225" s="606"/>
      <c r="M225" s="606"/>
      <c r="N225" s="608"/>
      <c r="O225" s="608"/>
      <c r="P225" s="608"/>
      <c r="Q225" s="608"/>
    </row>
    <row r="226" spans="2:17" ht="27.75" customHeight="1" x14ac:dyDescent="0.25">
      <c r="B226" s="606"/>
      <c r="C226" s="606"/>
      <c r="D226" s="606"/>
      <c r="E226" s="606"/>
      <c r="F226" s="606"/>
      <c r="G226" s="606"/>
      <c r="H226" s="607"/>
      <c r="I226" s="606"/>
      <c r="J226" s="606"/>
      <c r="K226" s="606"/>
      <c r="L226" s="606"/>
      <c r="M226" s="606"/>
      <c r="N226" s="608"/>
      <c r="O226" s="608"/>
      <c r="P226" s="608"/>
      <c r="Q226" s="608"/>
    </row>
    <row r="227" spans="2:17" ht="27.75" customHeight="1" x14ac:dyDescent="0.25">
      <c r="B227" s="606"/>
      <c r="C227" s="606"/>
      <c r="D227" s="606"/>
      <c r="E227" s="606"/>
      <c r="F227" s="606"/>
      <c r="G227" s="606"/>
      <c r="H227" s="607"/>
      <c r="I227" s="606"/>
      <c r="J227" s="606"/>
      <c r="K227" s="606"/>
      <c r="L227" s="606"/>
      <c r="M227" s="606"/>
      <c r="N227" s="608"/>
      <c r="O227" s="608"/>
      <c r="P227" s="608"/>
      <c r="Q227" s="608"/>
    </row>
    <row r="228" spans="2:17" ht="27.75" customHeight="1" x14ac:dyDescent="0.25">
      <c r="B228" s="606"/>
      <c r="C228" s="606"/>
      <c r="D228" s="606"/>
      <c r="E228" s="606"/>
      <c r="F228" s="606"/>
      <c r="G228" s="606"/>
      <c r="H228" s="607"/>
      <c r="I228" s="606"/>
      <c r="J228" s="606"/>
      <c r="K228" s="606"/>
      <c r="L228" s="606"/>
      <c r="M228" s="606"/>
      <c r="N228" s="608"/>
      <c r="O228" s="608"/>
      <c r="P228" s="608"/>
      <c r="Q228" s="608"/>
    </row>
    <row r="229" spans="2:17" ht="27.75" customHeight="1" x14ac:dyDescent="0.25">
      <c r="B229" s="606"/>
      <c r="C229" s="606"/>
      <c r="D229" s="606"/>
      <c r="E229" s="606"/>
      <c r="F229" s="606"/>
      <c r="G229" s="606"/>
      <c r="H229" s="607"/>
      <c r="I229" s="606"/>
      <c r="J229" s="606"/>
      <c r="K229" s="606"/>
      <c r="L229" s="606"/>
      <c r="M229" s="606"/>
      <c r="N229" s="608"/>
      <c r="O229" s="608"/>
      <c r="P229" s="608"/>
      <c r="Q229" s="608"/>
    </row>
    <row r="230" spans="2:17" ht="27.75" customHeight="1" x14ac:dyDescent="0.25">
      <c r="B230" s="606"/>
      <c r="C230" s="606"/>
      <c r="D230" s="606"/>
      <c r="E230" s="606"/>
      <c r="F230" s="606"/>
      <c r="G230" s="606"/>
      <c r="H230" s="607"/>
      <c r="I230" s="606"/>
      <c r="J230" s="606"/>
      <c r="K230" s="606"/>
      <c r="L230" s="606"/>
      <c r="M230" s="606"/>
      <c r="N230" s="608"/>
      <c r="O230" s="608"/>
      <c r="P230" s="608"/>
      <c r="Q230" s="608"/>
    </row>
    <row r="231" spans="2:17" ht="27.75" customHeight="1" x14ac:dyDescent="0.25">
      <c r="B231" s="606"/>
      <c r="C231" s="606"/>
      <c r="D231" s="606"/>
      <c r="E231" s="606"/>
      <c r="F231" s="606"/>
      <c r="G231" s="606"/>
      <c r="H231" s="607"/>
      <c r="I231" s="606"/>
      <c r="J231" s="606"/>
      <c r="K231" s="606"/>
      <c r="L231" s="606"/>
      <c r="M231" s="606"/>
      <c r="N231" s="608"/>
      <c r="O231" s="608"/>
      <c r="P231" s="608"/>
      <c r="Q231" s="608"/>
    </row>
    <row r="232" spans="2:17" ht="27.75" customHeight="1" x14ac:dyDescent="0.25">
      <c r="B232" s="606"/>
      <c r="C232" s="606"/>
      <c r="D232" s="606"/>
      <c r="E232" s="606"/>
      <c r="F232" s="606"/>
      <c r="G232" s="606"/>
      <c r="H232" s="607"/>
      <c r="I232" s="606"/>
      <c r="J232" s="606"/>
      <c r="K232" s="606"/>
      <c r="L232" s="606"/>
      <c r="M232" s="606"/>
      <c r="N232" s="608"/>
      <c r="O232" s="608"/>
      <c r="P232" s="608"/>
      <c r="Q232" s="608"/>
    </row>
    <row r="233" spans="2:17" ht="27.75" customHeight="1" x14ac:dyDescent="0.25">
      <c r="B233" s="606"/>
      <c r="C233" s="606"/>
      <c r="D233" s="606"/>
      <c r="E233" s="606"/>
      <c r="F233" s="606"/>
      <c r="G233" s="606"/>
      <c r="H233" s="607"/>
      <c r="I233" s="606"/>
      <c r="J233" s="606"/>
      <c r="K233" s="606"/>
      <c r="L233" s="606"/>
      <c r="M233" s="606"/>
      <c r="N233" s="608"/>
      <c r="O233" s="608"/>
      <c r="P233" s="608"/>
      <c r="Q233" s="608"/>
    </row>
    <row r="234" spans="2:17" ht="27.75" customHeight="1" x14ac:dyDescent="0.25">
      <c r="B234" s="606"/>
      <c r="C234" s="606"/>
      <c r="D234" s="606"/>
      <c r="E234" s="606"/>
      <c r="F234" s="606"/>
      <c r="G234" s="606"/>
      <c r="H234" s="607"/>
      <c r="I234" s="606"/>
      <c r="J234" s="606"/>
      <c r="K234" s="606"/>
      <c r="L234" s="606"/>
      <c r="M234" s="606"/>
      <c r="N234" s="608"/>
      <c r="O234" s="608"/>
      <c r="P234" s="608"/>
      <c r="Q234" s="608"/>
    </row>
    <row r="235" spans="2:17" ht="27.75" customHeight="1" x14ac:dyDescent="0.25">
      <c r="B235" s="606"/>
      <c r="C235" s="606"/>
      <c r="D235" s="606"/>
      <c r="E235" s="606"/>
      <c r="F235" s="606"/>
      <c r="G235" s="606"/>
      <c r="H235" s="607"/>
      <c r="I235" s="606"/>
      <c r="J235" s="606"/>
      <c r="K235" s="606"/>
      <c r="L235" s="606"/>
      <c r="M235" s="606"/>
      <c r="N235" s="608"/>
      <c r="O235" s="608"/>
      <c r="P235" s="608"/>
      <c r="Q235" s="608"/>
    </row>
    <row r="236" spans="2:17" ht="27.75" customHeight="1" x14ac:dyDescent="0.25">
      <c r="B236" s="606"/>
      <c r="C236" s="606"/>
      <c r="D236" s="606"/>
      <c r="E236" s="606"/>
      <c r="F236" s="606"/>
      <c r="G236" s="606"/>
      <c r="H236" s="607"/>
      <c r="I236" s="606"/>
      <c r="J236" s="606"/>
      <c r="K236" s="606"/>
      <c r="L236" s="606"/>
      <c r="M236" s="606"/>
      <c r="N236" s="608"/>
      <c r="O236" s="608"/>
      <c r="P236" s="608"/>
      <c r="Q236" s="608"/>
    </row>
    <row r="237" spans="2:17" ht="27.75" customHeight="1" x14ac:dyDescent="0.25">
      <c r="B237" s="606"/>
      <c r="C237" s="606"/>
      <c r="D237" s="606"/>
      <c r="E237" s="606"/>
      <c r="F237" s="606"/>
      <c r="G237" s="606"/>
      <c r="H237" s="607"/>
      <c r="I237" s="606"/>
      <c r="J237" s="606"/>
      <c r="K237" s="606"/>
      <c r="L237" s="606"/>
      <c r="M237" s="606"/>
      <c r="N237" s="608"/>
      <c r="O237" s="608"/>
      <c r="P237" s="608"/>
      <c r="Q237" s="608"/>
    </row>
    <row r="238" spans="2:17" ht="27.75" customHeight="1" x14ac:dyDescent="0.25">
      <c r="B238" s="606"/>
      <c r="C238" s="606"/>
      <c r="D238" s="606"/>
      <c r="E238" s="606"/>
      <c r="F238" s="606"/>
      <c r="G238" s="606"/>
      <c r="H238" s="607"/>
      <c r="I238" s="606"/>
      <c r="J238" s="606"/>
      <c r="K238" s="606"/>
      <c r="L238" s="606"/>
      <c r="M238" s="606"/>
      <c r="N238" s="608"/>
      <c r="O238" s="608"/>
      <c r="P238" s="608"/>
      <c r="Q238" s="608"/>
    </row>
    <row r="239" spans="2:17" ht="27.75" customHeight="1" x14ac:dyDescent="0.25">
      <c r="B239" s="606"/>
      <c r="C239" s="606"/>
      <c r="D239" s="606"/>
      <c r="E239" s="606"/>
      <c r="F239" s="606"/>
      <c r="G239" s="606"/>
      <c r="H239" s="607"/>
      <c r="I239" s="606"/>
      <c r="J239" s="606"/>
      <c r="K239" s="606"/>
      <c r="L239" s="606"/>
      <c r="M239" s="606"/>
      <c r="N239" s="608"/>
      <c r="O239" s="608"/>
      <c r="P239" s="608"/>
      <c r="Q239" s="608"/>
    </row>
    <row r="240" spans="2:17" ht="27.75" customHeight="1" x14ac:dyDescent="0.25">
      <c r="B240" s="606"/>
      <c r="C240" s="606"/>
      <c r="D240" s="606"/>
      <c r="E240" s="606"/>
      <c r="F240" s="606"/>
      <c r="G240" s="606"/>
      <c r="H240" s="607"/>
      <c r="I240" s="606"/>
      <c r="J240" s="606"/>
      <c r="K240" s="606"/>
      <c r="L240" s="606"/>
      <c r="M240" s="606"/>
      <c r="N240" s="608"/>
      <c r="O240" s="608"/>
      <c r="P240" s="608"/>
      <c r="Q240" s="608"/>
    </row>
    <row r="241" spans="2:17" ht="27.75" customHeight="1" x14ac:dyDescent="0.25">
      <c r="B241" s="606"/>
      <c r="C241" s="606"/>
      <c r="D241" s="606"/>
      <c r="E241" s="606"/>
      <c r="F241" s="606"/>
      <c r="G241" s="606"/>
      <c r="H241" s="607"/>
      <c r="I241" s="606"/>
      <c r="J241" s="606"/>
      <c r="K241" s="606"/>
      <c r="L241" s="606"/>
      <c r="M241" s="606"/>
      <c r="N241" s="608"/>
      <c r="O241" s="608"/>
      <c r="P241" s="608"/>
      <c r="Q241" s="608"/>
    </row>
    <row r="242" spans="2:17" ht="27.75" customHeight="1" x14ac:dyDescent="0.25">
      <c r="B242" s="606"/>
      <c r="C242" s="606"/>
      <c r="D242" s="606"/>
      <c r="E242" s="606"/>
      <c r="F242" s="606"/>
      <c r="G242" s="606"/>
      <c r="H242" s="607"/>
      <c r="I242" s="606"/>
      <c r="J242" s="606"/>
      <c r="K242" s="606"/>
      <c r="L242" s="606"/>
      <c r="M242" s="606"/>
      <c r="N242" s="608"/>
      <c r="O242" s="608"/>
      <c r="P242" s="608"/>
      <c r="Q242" s="608"/>
    </row>
    <row r="243" spans="2:17" ht="27.75" customHeight="1" x14ac:dyDescent="0.25">
      <c r="B243" s="606"/>
      <c r="C243" s="606"/>
      <c r="D243" s="606"/>
      <c r="E243" s="606"/>
      <c r="F243" s="606"/>
      <c r="G243" s="606"/>
      <c r="H243" s="607"/>
      <c r="I243" s="606"/>
      <c r="J243" s="606"/>
      <c r="K243" s="606"/>
      <c r="L243" s="606"/>
      <c r="M243" s="606"/>
      <c r="N243" s="608"/>
      <c r="O243" s="608"/>
      <c r="P243" s="608"/>
      <c r="Q243" s="608"/>
    </row>
    <row r="244" spans="2:17" ht="27.75" customHeight="1" x14ac:dyDescent="0.25">
      <c r="B244" s="606"/>
      <c r="C244" s="606"/>
      <c r="D244" s="606"/>
      <c r="E244" s="606"/>
      <c r="F244" s="606"/>
      <c r="G244" s="606"/>
      <c r="H244" s="607"/>
      <c r="I244" s="606"/>
      <c r="J244" s="606"/>
      <c r="K244" s="606"/>
      <c r="L244" s="606"/>
      <c r="M244" s="606"/>
      <c r="N244" s="608"/>
      <c r="O244" s="608"/>
      <c r="P244" s="608"/>
      <c r="Q244" s="608"/>
    </row>
    <row r="245" spans="2:17" ht="27.75" customHeight="1" x14ac:dyDescent="0.25">
      <c r="B245" s="606"/>
      <c r="C245" s="606"/>
      <c r="D245" s="606"/>
      <c r="E245" s="606"/>
      <c r="F245" s="606"/>
      <c r="G245" s="606"/>
      <c r="H245" s="607"/>
      <c r="I245" s="606"/>
      <c r="J245" s="606"/>
      <c r="K245" s="606"/>
      <c r="L245" s="606"/>
      <c r="M245" s="606"/>
      <c r="N245" s="608"/>
      <c r="O245" s="608"/>
      <c r="P245" s="608"/>
      <c r="Q245" s="608"/>
    </row>
    <row r="246" spans="2:17" ht="27.75" customHeight="1" x14ac:dyDescent="0.25">
      <c r="B246" s="606"/>
      <c r="C246" s="606"/>
      <c r="D246" s="606"/>
      <c r="E246" s="606"/>
      <c r="F246" s="606"/>
      <c r="G246" s="606"/>
      <c r="H246" s="607"/>
      <c r="I246" s="606"/>
      <c r="J246" s="606"/>
      <c r="K246" s="606"/>
      <c r="L246" s="606"/>
      <c r="M246" s="606"/>
      <c r="N246" s="608"/>
      <c r="O246" s="608"/>
      <c r="P246" s="608"/>
      <c r="Q246" s="608"/>
    </row>
    <row r="247" spans="2:17" ht="27.75" customHeight="1" x14ac:dyDescent="0.25">
      <c r="B247" s="606"/>
      <c r="C247" s="606"/>
      <c r="D247" s="606"/>
      <c r="E247" s="606"/>
      <c r="F247" s="606"/>
      <c r="G247" s="606"/>
      <c r="H247" s="607"/>
      <c r="I247" s="606"/>
      <c r="J247" s="606"/>
      <c r="K247" s="606"/>
      <c r="L247" s="606"/>
      <c r="M247" s="606"/>
      <c r="N247" s="608"/>
      <c r="O247" s="608"/>
      <c r="P247" s="608"/>
      <c r="Q247" s="608"/>
    </row>
    <row r="248" spans="2:17" ht="27.75" customHeight="1" x14ac:dyDescent="0.25">
      <c r="B248" s="606"/>
      <c r="C248" s="606"/>
      <c r="D248" s="606"/>
      <c r="E248" s="606"/>
      <c r="F248" s="606"/>
      <c r="G248" s="606"/>
      <c r="H248" s="607"/>
      <c r="I248" s="606"/>
      <c r="J248" s="606"/>
      <c r="K248" s="606"/>
      <c r="L248" s="606"/>
      <c r="M248" s="606"/>
      <c r="N248" s="608"/>
      <c r="O248" s="608"/>
      <c r="P248" s="608"/>
      <c r="Q248" s="608"/>
    </row>
    <row r="249" spans="2:17" ht="27.75" customHeight="1" x14ac:dyDescent="0.25">
      <c r="B249" s="606"/>
      <c r="C249" s="606"/>
      <c r="D249" s="606"/>
      <c r="E249" s="606"/>
      <c r="F249" s="606"/>
      <c r="G249" s="606"/>
      <c r="H249" s="607"/>
      <c r="I249" s="606"/>
      <c r="J249" s="606"/>
      <c r="K249" s="606"/>
      <c r="L249" s="606"/>
      <c r="M249" s="606"/>
      <c r="N249" s="608"/>
      <c r="O249" s="608"/>
      <c r="P249" s="608"/>
      <c r="Q249" s="608"/>
    </row>
    <row r="250" spans="2:17" ht="27.75" customHeight="1" x14ac:dyDescent="0.25">
      <c r="B250" s="606"/>
      <c r="C250" s="606"/>
      <c r="D250" s="606"/>
      <c r="E250" s="606"/>
      <c r="F250" s="606"/>
      <c r="G250" s="606"/>
      <c r="H250" s="607"/>
      <c r="I250" s="606"/>
      <c r="J250" s="606"/>
      <c r="K250" s="606"/>
      <c r="L250" s="606"/>
      <c r="M250" s="606"/>
      <c r="N250" s="608"/>
      <c r="O250" s="608"/>
      <c r="P250" s="608"/>
      <c r="Q250" s="608"/>
    </row>
    <row r="251" spans="2:17" ht="27.75" customHeight="1" x14ac:dyDescent="0.25">
      <c r="B251" s="606"/>
      <c r="C251" s="606"/>
      <c r="D251" s="606"/>
      <c r="E251" s="606"/>
      <c r="F251" s="606"/>
      <c r="G251" s="606"/>
      <c r="H251" s="607"/>
      <c r="I251" s="606"/>
      <c r="J251" s="606"/>
      <c r="K251" s="606"/>
      <c r="L251" s="606"/>
      <c r="M251" s="606"/>
      <c r="N251" s="608"/>
      <c r="O251" s="608"/>
      <c r="P251" s="608"/>
      <c r="Q251" s="608"/>
    </row>
    <row r="252" spans="2:17" ht="27.75" customHeight="1" x14ac:dyDescent="0.25">
      <c r="B252" s="606"/>
      <c r="C252" s="606"/>
      <c r="D252" s="606"/>
      <c r="E252" s="606"/>
      <c r="F252" s="606"/>
      <c r="G252" s="606"/>
      <c r="H252" s="607"/>
      <c r="I252" s="606"/>
      <c r="J252" s="606"/>
      <c r="K252" s="606"/>
      <c r="L252" s="606"/>
      <c r="M252" s="606"/>
      <c r="N252" s="608"/>
      <c r="O252" s="608"/>
      <c r="P252" s="608"/>
      <c r="Q252" s="608"/>
    </row>
    <row r="253" spans="2:17" ht="27.75" customHeight="1" x14ac:dyDescent="0.25">
      <c r="B253" s="606"/>
      <c r="C253" s="606"/>
      <c r="D253" s="606"/>
      <c r="E253" s="606"/>
      <c r="F253" s="606"/>
      <c r="G253" s="606"/>
      <c r="H253" s="607"/>
      <c r="I253" s="606"/>
      <c r="J253" s="606"/>
      <c r="K253" s="606"/>
      <c r="L253" s="606"/>
      <c r="M253" s="606"/>
      <c r="N253" s="608"/>
      <c r="O253" s="608"/>
      <c r="P253" s="608"/>
      <c r="Q253" s="608"/>
    </row>
    <row r="254" spans="2:17" ht="27.75" customHeight="1" x14ac:dyDescent="0.25">
      <c r="B254" s="606"/>
      <c r="C254" s="606"/>
      <c r="D254" s="606"/>
      <c r="E254" s="606"/>
      <c r="F254" s="606"/>
      <c r="G254" s="606"/>
      <c r="H254" s="607"/>
      <c r="I254" s="606"/>
      <c r="J254" s="606"/>
      <c r="K254" s="606"/>
      <c r="L254" s="606"/>
      <c r="M254" s="606"/>
      <c r="N254" s="608"/>
      <c r="O254" s="608"/>
      <c r="P254" s="608"/>
      <c r="Q254" s="608"/>
    </row>
    <row r="255" spans="2:17" ht="27.75" customHeight="1" x14ac:dyDescent="0.25">
      <c r="B255" s="606"/>
      <c r="C255" s="606"/>
      <c r="D255" s="606"/>
      <c r="E255" s="606"/>
      <c r="F255" s="606"/>
      <c r="G255" s="606"/>
      <c r="H255" s="607"/>
      <c r="I255" s="606"/>
      <c r="J255" s="606"/>
      <c r="K255" s="606"/>
      <c r="L255" s="606"/>
      <c r="M255" s="606"/>
      <c r="N255" s="608"/>
      <c r="O255" s="608"/>
      <c r="P255" s="608"/>
      <c r="Q255" s="608"/>
    </row>
    <row r="256" spans="2:17" ht="27.75" customHeight="1" x14ac:dyDescent="0.25">
      <c r="B256" s="606"/>
      <c r="C256" s="606"/>
      <c r="D256" s="606"/>
      <c r="E256" s="606"/>
      <c r="F256" s="606"/>
      <c r="G256" s="606"/>
      <c r="H256" s="607"/>
      <c r="I256" s="606"/>
      <c r="J256" s="606"/>
      <c r="K256" s="606"/>
      <c r="L256" s="606"/>
      <c r="M256" s="606"/>
      <c r="N256" s="608"/>
      <c r="O256" s="608"/>
      <c r="P256" s="608"/>
      <c r="Q256" s="608"/>
    </row>
    <row r="257" spans="2:17" ht="27.75" customHeight="1" x14ac:dyDescent="0.25">
      <c r="B257" s="606"/>
      <c r="C257" s="606"/>
      <c r="D257" s="606"/>
      <c r="E257" s="606"/>
      <c r="F257" s="606"/>
      <c r="G257" s="606"/>
      <c r="H257" s="607"/>
      <c r="I257" s="606"/>
      <c r="J257" s="606"/>
      <c r="K257" s="606"/>
      <c r="L257" s="606"/>
      <c r="M257" s="606"/>
      <c r="N257" s="608"/>
      <c r="O257" s="608"/>
      <c r="P257" s="608"/>
      <c r="Q257" s="608"/>
    </row>
    <row r="258" spans="2:17" ht="27.75" customHeight="1" x14ac:dyDescent="0.25">
      <c r="B258" s="606"/>
      <c r="C258" s="606"/>
      <c r="D258" s="606"/>
      <c r="E258" s="606"/>
      <c r="F258" s="606"/>
      <c r="G258" s="606"/>
      <c r="H258" s="607"/>
      <c r="I258" s="606"/>
      <c r="J258" s="606"/>
      <c r="K258" s="606"/>
      <c r="L258" s="606"/>
      <c r="M258" s="606"/>
      <c r="N258" s="608"/>
      <c r="O258" s="608"/>
      <c r="P258" s="608"/>
      <c r="Q258" s="608"/>
    </row>
    <row r="259" spans="2:17" ht="27.75" customHeight="1" x14ac:dyDescent="0.25">
      <c r="B259" s="606"/>
      <c r="C259" s="606"/>
      <c r="D259" s="606"/>
      <c r="E259" s="606"/>
      <c r="F259" s="606"/>
      <c r="G259" s="606"/>
      <c r="H259" s="607"/>
      <c r="I259" s="606"/>
      <c r="J259" s="606"/>
      <c r="K259" s="606"/>
      <c r="L259" s="606"/>
      <c r="M259" s="606"/>
      <c r="N259" s="608"/>
      <c r="O259" s="608"/>
      <c r="P259" s="608"/>
      <c r="Q259" s="608"/>
    </row>
    <row r="260" spans="2:17" ht="27.75" customHeight="1" x14ac:dyDescent="0.25">
      <c r="B260" s="606"/>
      <c r="C260" s="606"/>
      <c r="D260" s="606"/>
      <c r="E260" s="606"/>
      <c r="F260" s="606"/>
      <c r="G260" s="606"/>
      <c r="H260" s="607"/>
      <c r="I260" s="606"/>
      <c r="J260" s="606"/>
      <c r="K260" s="606"/>
      <c r="L260" s="606"/>
      <c r="M260" s="606"/>
      <c r="N260" s="608"/>
      <c r="O260" s="608"/>
      <c r="P260" s="608"/>
      <c r="Q260" s="608"/>
    </row>
    <row r="261" spans="2:17" ht="27.75" customHeight="1" x14ac:dyDescent="0.25">
      <c r="B261" s="606"/>
      <c r="C261" s="606"/>
      <c r="D261" s="606"/>
      <c r="E261" s="606"/>
      <c r="F261" s="606"/>
      <c r="G261" s="606"/>
      <c r="H261" s="607"/>
      <c r="I261" s="606"/>
      <c r="J261" s="606"/>
      <c r="K261" s="606"/>
      <c r="L261" s="606"/>
      <c r="M261" s="606"/>
      <c r="N261" s="608"/>
      <c r="O261" s="608"/>
      <c r="P261" s="608"/>
      <c r="Q261" s="608"/>
    </row>
    <row r="262" spans="2:17" ht="27.75" customHeight="1" x14ac:dyDescent="0.25">
      <c r="B262" s="606"/>
      <c r="C262" s="606"/>
      <c r="D262" s="606"/>
      <c r="E262" s="606"/>
      <c r="F262" s="606"/>
      <c r="G262" s="606"/>
      <c r="H262" s="607"/>
      <c r="I262" s="606"/>
      <c r="J262" s="606"/>
      <c r="K262" s="606"/>
      <c r="L262" s="606"/>
      <c r="M262" s="606"/>
      <c r="N262" s="608"/>
      <c r="O262" s="608"/>
      <c r="P262" s="608"/>
      <c r="Q262" s="608"/>
    </row>
    <row r="263" spans="2:17" ht="27.75" customHeight="1" x14ac:dyDescent="0.25">
      <c r="B263" s="606"/>
      <c r="C263" s="606"/>
      <c r="D263" s="606"/>
      <c r="E263" s="606"/>
      <c r="F263" s="606"/>
      <c r="G263" s="606"/>
      <c r="H263" s="607"/>
      <c r="I263" s="606"/>
      <c r="J263" s="606"/>
      <c r="K263" s="606"/>
      <c r="L263" s="606"/>
      <c r="M263" s="606"/>
      <c r="N263" s="608"/>
      <c r="O263" s="608"/>
      <c r="P263" s="608"/>
      <c r="Q263" s="608"/>
    </row>
    <row r="264" spans="2:17" ht="27.75" customHeight="1" x14ac:dyDescent="0.25">
      <c r="B264" s="606"/>
      <c r="C264" s="606"/>
      <c r="D264" s="606"/>
      <c r="E264" s="606"/>
      <c r="F264" s="606"/>
      <c r="G264" s="606"/>
      <c r="H264" s="607"/>
      <c r="I264" s="606"/>
      <c r="J264" s="606"/>
      <c r="K264" s="606"/>
      <c r="L264" s="606"/>
      <c r="M264" s="606"/>
      <c r="N264" s="608"/>
      <c r="O264" s="608"/>
      <c r="P264" s="608"/>
      <c r="Q264" s="608"/>
    </row>
    <row r="265" spans="2:17" ht="27.75" customHeight="1" x14ac:dyDescent="0.25">
      <c r="B265" s="606"/>
      <c r="C265" s="606"/>
      <c r="D265" s="606"/>
      <c r="E265" s="606"/>
      <c r="F265" s="606"/>
      <c r="G265" s="606"/>
      <c r="H265" s="607"/>
      <c r="I265" s="606"/>
      <c r="J265" s="606"/>
      <c r="K265" s="606"/>
      <c r="L265" s="606"/>
      <c r="M265" s="606"/>
      <c r="N265" s="608"/>
      <c r="O265" s="608"/>
      <c r="P265" s="608"/>
      <c r="Q265" s="608"/>
    </row>
    <row r="266" spans="2:17" ht="27.75" customHeight="1" x14ac:dyDescent="0.25">
      <c r="B266" s="606"/>
      <c r="C266" s="606"/>
      <c r="D266" s="606"/>
      <c r="E266" s="606"/>
      <c r="F266" s="606"/>
      <c r="G266" s="606"/>
      <c r="H266" s="607"/>
      <c r="I266" s="606"/>
      <c r="J266" s="606"/>
      <c r="K266" s="606"/>
      <c r="L266" s="606"/>
      <c r="M266" s="606"/>
      <c r="N266" s="608"/>
      <c r="O266" s="608"/>
      <c r="P266" s="608"/>
      <c r="Q266" s="608"/>
    </row>
    <row r="267" spans="2:17" ht="27.75" customHeight="1" x14ac:dyDescent="0.25">
      <c r="B267" s="606"/>
      <c r="C267" s="606"/>
      <c r="D267" s="606"/>
      <c r="E267" s="606"/>
      <c r="F267" s="606"/>
      <c r="G267" s="606"/>
      <c r="H267" s="607"/>
      <c r="I267" s="606"/>
      <c r="J267" s="606"/>
      <c r="K267" s="606"/>
      <c r="L267" s="606"/>
      <c r="M267" s="606"/>
      <c r="N267" s="608"/>
      <c r="O267" s="608"/>
      <c r="P267" s="608"/>
      <c r="Q267" s="608"/>
    </row>
    <row r="268" spans="2:17" ht="27.75" customHeight="1" x14ac:dyDescent="0.25">
      <c r="B268" s="606"/>
      <c r="C268" s="606"/>
      <c r="D268" s="606"/>
      <c r="E268" s="606"/>
      <c r="F268" s="606"/>
      <c r="G268" s="606"/>
      <c r="H268" s="607"/>
      <c r="I268" s="606"/>
      <c r="J268" s="606"/>
      <c r="K268" s="606"/>
      <c r="L268" s="606"/>
      <c r="M268" s="606"/>
      <c r="N268" s="608"/>
      <c r="O268" s="608"/>
      <c r="P268" s="608"/>
      <c r="Q268" s="608"/>
    </row>
    <row r="269" spans="2:17" ht="27.75" customHeight="1" x14ac:dyDescent="0.25">
      <c r="B269" s="606"/>
      <c r="C269" s="606"/>
      <c r="D269" s="606"/>
      <c r="E269" s="606"/>
      <c r="F269" s="606"/>
      <c r="G269" s="606"/>
      <c r="H269" s="607"/>
      <c r="I269" s="606"/>
      <c r="J269" s="606"/>
      <c r="K269" s="606"/>
      <c r="L269" s="606"/>
      <c r="M269" s="606"/>
      <c r="N269" s="608"/>
      <c r="O269" s="608"/>
      <c r="P269" s="608"/>
      <c r="Q269" s="608"/>
    </row>
    <row r="270" spans="2:17" ht="27.75" customHeight="1" x14ac:dyDescent="0.25">
      <c r="B270" s="606"/>
      <c r="C270" s="606"/>
      <c r="D270" s="606"/>
      <c r="E270" s="606"/>
      <c r="F270" s="606"/>
      <c r="G270" s="606"/>
      <c r="H270" s="607"/>
      <c r="I270" s="606"/>
      <c r="J270" s="606"/>
      <c r="K270" s="606"/>
      <c r="L270" s="606"/>
      <c r="M270" s="606"/>
      <c r="N270" s="608"/>
      <c r="O270" s="608"/>
      <c r="P270" s="608"/>
      <c r="Q270" s="608"/>
    </row>
    <row r="271" spans="2:17" ht="27.75" customHeight="1" x14ac:dyDescent="0.25">
      <c r="B271" s="606"/>
      <c r="C271" s="606"/>
      <c r="D271" s="606"/>
      <c r="E271" s="606"/>
      <c r="F271" s="606"/>
      <c r="G271" s="606"/>
      <c r="H271" s="607"/>
      <c r="I271" s="606"/>
      <c r="J271" s="606"/>
      <c r="K271" s="606"/>
      <c r="L271" s="606"/>
      <c r="M271" s="606"/>
      <c r="N271" s="608"/>
      <c r="O271" s="608"/>
      <c r="P271" s="608"/>
      <c r="Q271" s="608"/>
    </row>
    <row r="272" spans="2:17" ht="27.75" customHeight="1" x14ac:dyDescent="0.25">
      <c r="B272" s="606"/>
      <c r="C272" s="606"/>
      <c r="D272" s="606"/>
      <c r="E272" s="606"/>
      <c r="F272" s="606"/>
      <c r="G272" s="606"/>
      <c r="H272" s="607"/>
      <c r="I272" s="606"/>
      <c r="J272" s="606"/>
      <c r="K272" s="606"/>
      <c r="L272" s="606"/>
      <c r="M272" s="606"/>
      <c r="N272" s="608"/>
      <c r="O272" s="608"/>
      <c r="P272" s="608"/>
      <c r="Q272" s="608"/>
    </row>
    <row r="273" spans="2:17" ht="27.75" customHeight="1" x14ac:dyDescent="0.25">
      <c r="B273" s="606"/>
      <c r="C273" s="606"/>
      <c r="D273" s="606"/>
      <c r="E273" s="606"/>
      <c r="F273" s="606"/>
      <c r="G273" s="606"/>
      <c r="H273" s="607"/>
      <c r="I273" s="606"/>
      <c r="J273" s="606"/>
      <c r="K273" s="606"/>
      <c r="L273" s="606"/>
      <c r="M273" s="606"/>
      <c r="N273" s="608"/>
      <c r="O273" s="608"/>
      <c r="P273" s="608"/>
      <c r="Q273" s="608"/>
    </row>
    <row r="274" spans="2:17" ht="27.75" customHeight="1" x14ac:dyDescent="0.25">
      <c r="B274" s="606"/>
      <c r="C274" s="606"/>
      <c r="D274" s="606"/>
      <c r="E274" s="606"/>
      <c r="F274" s="606"/>
      <c r="G274" s="606"/>
      <c r="H274" s="607"/>
      <c r="I274" s="606"/>
      <c r="J274" s="606"/>
      <c r="K274" s="606"/>
      <c r="L274" s="606"/>
      <c r="M274" s="606"/>
      <c r="N274" s="608"/>
      <c r="O274" s="608"/>
      <c r="P274" s="608"/>
      <c r="Q274" s="608"/>
    </row>
    <row r="275" spans="2:17" ht="27.75" customHeight="1" x14ac:dyDescent="0.25">
      <c r="B275" s="606"/>
      <c r="C275" s="606"/>
      <c r="D275" s="606"/>
      <c r="E275" s="606"/>
      <c r="F275" s="606"/>
      <c r="G275" s="606"/>
      <c r="H275" s="607"/>
      <c r="I275" s="606"/>
      <c r="J275" s="606"/>
      <c r="K275" s="606"/>
      <c r="L275" s="606"/>
      <c r="M275" s="606"/>
      <c r="N275" s="608"/>
      <c r="O275" s="608"/>
      <c r="P275" s="608"/>
      <c r="Q275" s="608"/>
    </row>
    <row r="276" spans="2:17" ht="27.75" customHeight="1" x14ac:dyDescent="0.25">
      <c r="B276" s="606"/>
      <c r="C276" s="606"/>
      <c r="D276" s="606"/>
      <c r="E276" s="606"/>
      <c r="F276" s="606"/>
      <c r="G276" s="606"/>
      <c r="H276" s="607"/>
      <c r="I276" s="606"/>
      <c r="J276" s="606"/>
      <c r="K276" s="606"/>
      <c r="L276" s="606"/>
      <c r="M276" s="606"/>
      <c r="N276" s="608"/>
      <c r="O276" s="608"/>
      <c r="P276" s="608"/>
      <c r="Q276" s="608"/>
    </row>
    <row r="277" spans="2:17" ht="27.75" customHeight="1" x14ac:dyDescent="0.25">
      <c r="B277" s="606"/>
      <c r="C277" s="606"/>
      <c r="D277" s="606"/>
      <c r="E277" s="606"/>
      <c r="F277" s="606"/>
      <c r="G277" s="606"/>
      <c r="H277" s="607"/>
      <c r="I277" s="606"/>
      <c r="J277" s="606"/>
      <c r="K277" s="606"/>
      <c r="L277" s="606"/>
      <c r="M277" s="606"/>
      <c r="N277" s="608"/>
      <c r="O277" s="608"/>
      <c r="P277" s="608"/>
      <c r="Q277" s="608"/>
    </row>
    <row r="278" spans="2:17" ht="27.75" customHeight="1" x14ac:dyDescent="0.25">
      <c r="B278" s="606"/>
      <c r="C278" s="606"/>
      <c r="D278" s="606"/>
      <c r="E278" s="606"/>
      <c r="F278" s="606"/>
      <c r="G278" s="606"/>
      <c r="H278" s="607"/>
      <c r="I278" s="606"/>
      <c r="J278" s="606"/>
      <c r="K278" s="606"/>
      <c r="L278" s="606"/>
      <c r="M278" s="606"/>
      <c r="N278" s="608"/>
      <c r="O278" s="608"/>
      <c r="P278" s="608"/>
      <c r="Q278" s="608"/>
    </row>
    <row r="279" spans="2:17" ht="27.75" customHeight="1" x14ac:dyDescent="0.25">
      <c r="B279" s="606"/>
      <c r="C279" s="606"/>
      <c r="D279" s="606"/>
      <c r="E279" s="606"/>
      <c r="F279" s="606"/>
      <c r="G279" s="606"/>
      <c r="H279" s="607"/>
      <c r="I279" s="606"/>
      <c r="J279" s="606"/>
      <c r="K279" s="606"/>
      <c r="L279" s="606"/>
      <c r="M279" s="606"/>
      <c r="N279" s="608"/>
      <c r="O279" s="608"/>
      <c r="P279" s="608"/>
      <c r="Q279" s="608"/>
    </row>
    <row r="280" spans="2:17" ht="27.75" customHeight="1" x14ac:dyDescent="0.25">
      <c r="B280" s="606"/>
      <c r="C280" s="606"/>
      <c r="D280" s="606"/>
      <c r="E280" s="606"/>
      <c r="F280" s="606"/>
      <c r="G280" s="606"/>
      <c r="H280" s="607"/>
      <c r="I280" s="606"/>
      <c r="J280" s="606"/>
      <c r="K280" s="606"/>
      <c r="L280" s="606"/>
      <c r="M280" s="606"/>
      <c r="N280" s="608"/>
      <c r="O280" s="608"/>
      <c r="P280" s="608"/>
      <c r="Q280" s="608"/>
    </row>
    <row r="281" spans="2:17" ht="27.75" customHeight="1" x14ac:dyDescent="0.25">
      <c r="B281" s="606"/>
      <c r="C281" s="606"/>
      <c r="D281" s="606"/>
      <c r="E281" s="606"/>
      <c r="F281" s="606"/>
      <c r="G281" s="606"/>
      <c r="H281" s="607"/>
      <c r="I281" s="606"/>
      <c r="J281" s="606"/>
      <c r="K281" s="606"/>
      <c r="L281" s="606"/>
      <c r="M281" s="606"/>
      <c r="N281" s="608"/>
      <c r="O281" s="608"/>
      <c r="P281" s="608"/>
      <c r="Q281" s="608"/>
    </row>
    <row r="282" spans="2:17" ht="27.75" customHeight="1" x14ac:dyDescent="0.25">
      <c r="B282" s="606"/>
      <c r="C282" s="606"/>
      <c r="D282" s="606"/>
      <c r="E282" s="606"/>
      <c r="F282" s="606"/>
      <c r="G282" s="606"/>
      <c r="H282" s="607"/>
      <c r="I282" s="606"/>
      <c r="J282" s="606"/>
      <c r="K282" s="606"/>
      <c r="L282" s="606"/>
      <c r="M282" s="606"/>
      <c r="N282" s="608"/>
      <c r="O282" s="608"/>
      <c r="P282" s="608"/>
      <c r="Q282" s="608"/>
    </row>
    <row r="283" spans="2:17" ht="27.75" customHeight="1" x14ac:dyDescent="0.25">
      <c r="B283" s="606"/>
      <c r="C283" s="606"/>
      <c r="D283" s="606"/>
      <c r="E283" s="606"/>
      <c r="F283" s="606"/>
      <c r="G283" s="606"/>
      <c r="H283" s="607"/>
      <c r="I283" s="606"/>
      <c r="J283" s="606"/>
      <c r="K283" s="606"/>
      <c r="L283" s="606"/>
      <c r="M283" s="606"/>
      <c r="N283" s="608"/>
      <c r="O283" s="608"/>
      <c r="P283" s="608"/>
      <c r="Q283" s="608"/>
    </row>
    <row r="284" spans="2:17" ht="27.75" customHeight="1" x14ac:dyDescent="0.25">
      <c r="B284" s="606"/>
      <c r="C284" s="606"/>
      <c r="D284" s="606"/>
      <c r="E284" s="606"/>
      <c r="F284" s="606"/>
      <c r="G284" s="606"/>
      <c r="H284" s="607"/>
      <c r="I284" s="606"/>
      <c r="J284" s="606"/>
      <c r="K284" s="606"/>
      <c r="L284" s="606"/>
      <c r="M284" s="606"/>
      <c r="N284" s="608"/>
      <c r="O284" s="608"/>
      <c r="P284" s="608"/>
      <c r="Q284" s="608"/>
    </row>
    <row r="285" spans="2:17" ht="27.75" customHeight="1" x14ac:dyDescent="0.25">
      <c r="B285" s="606"/>
      <c r="C285" s="606"/>
      <c r="D285" s="606"/>
      <c r="E285" s="606"/>
      <c r="F285" s="606"/>
      <c r="G285" s="606"/>
      <c r="H285" s="607"/>
      <c r="I285" s="606"/>
      <c r="J285" s="606"/>
      <c r="K285" s="606"/>
      <c r="L285" s="606"/>
      <c r="M285" s="606"/>
      <c r="N285" s="608"/>
      <c r="O285" s="608"/>
      <c r="P285" s="608"/>
      <c r="Q285" s="608"/>
    </row>
    <row r="286" spans="2:17" ht="27.75" customHeight="1" x14ac:dyDescent="0.25">
      <c r="B286" s="606"/>
      <c r="C286" s="606"/>
      <c r="D286" s="606"/>
      <c r="E286" s="606"/>
      <c r="F286" s="606"/>
      <c r="G286" s="606"/>
      <c r="H286" s="607"/>
      <c r="I286" s="606"/>
      <c r="J286" s="606"/>
      <c r="K286" s="606"/>
      <c r="L286" s="606"/>
      <c r="M286" s="606"/>
      <c r="N286" s="608"/>
      <c r="O286" s="608"/>
      <c r="P286" s="608"/>
      <c r="Q286" s="608"/>
    </row>
    <row r="287" spans="2:17" ht="27.75" customHeight="1" x14ac:dyDescent="0.25">
      <c r="B287" s="606"/>
      <c r="C287" s="606"/>
      <c r="D287" s="606"/>
      <c r="E287" s="606"/>
      <c r="F287" s="606"/>
      <c r="G287" s="606"/>
      <c r="H287" s="607"/>
      <c r="I287" s="606"/>
      <c r="J287" s="606"/>
      <c r="K287" s="606"/>
      <c r="L287" s="606"/>
      <c r="M287" s="606"/>
      <c r="N287" s="608"/>
      <c r="O287" s="608"/>
      <c r="P287" s="608"/>
      <c r="Q287" s="608"/>
    </row>
    <row r="288" spans="2:17" ht="27.75" customHeight="1" x14ac:dyDescent="0.25">
      <c r="B288" s="606"/>
      <c r="C288" s="606"/>
      <c r="D288" s="606"/>
      <c r="E288" s="606"/>
      <c r="F288" s="606"/>
      <c r="G288" s="606"/>
      <c r="H288" s="607"/>
      <c r="I288" s="606"/>
      <c r="J288" s="606"/>
      <c r="K288" s="606"/>
      <c r="L288" s="606"/>
      <c r="M288" s="606"/>
      <c r="N288" s="608"/>
      <c r="O288" s="608"/>
      <c r="P288" s="608"/>
      <c r="Q288" s="608"/>
    </row>
    <row r="289" spans="2:17" ht="27.75" customHeight="1" x14ac:dyDescent="0.25">
      <c r="B289" s="606"/>
      <c r="C289" s="606"/>
      <c r="D289" s="606"/>
      <c r="E289" s="606"/>
      <c r="F289" s="606"/>
      <c r="G289" s="606"/>
      <c r="H289" s="607"/>
      <c r="I289" s="606"/>
      <c r="J289" s="606"/>
      <c r="K289" s="606"/>
      <c r="L289" s="606"/>
      <c r="M289" s="606"/>
      <c r="N289" s="608"/>
      <c r="O289" s="608"/>
      <c r="P289" s="608"/>
      <c r="Q289" s="608"/>
    </row>
    <row r="290" spans="2:17" ht="27.75" customHeight="1" x14ac:dyDescent="0.25">
      <c r="B290" s="606"/>
      <c r="C290" s="606"/>
      <c r="D290" s="606"/>
      <c r="E290" s="606"/>
      <c r="F290" s="606"/>
      <c r="G290" s="606"/>
      <c r="H290" s="607"/>
      <c r="I290" s="606"/>
      <c r="J290" s="606"/>
      <c r="K290" s="606"/>
      <c r="L290" s="606"/>
      <c r="M290" s="606"/>
      <c r="N290" s="608"/>
      <c r="O290" s="608"/>
      <c r="P290" s="608"/>
      <c r="Q290" s="608"/>
    </row>
    <row r="291" spans="2:17" ht="27.75" customHeight="1" x14ac:dyDescent="0.25">
      <c r="B291" s="606"/>
      <c r="C291" s="606"/>
      <c r="D291" s="606"/>
      <c r="E291" s="606"/>
      <c r="F291" s="606"/>
      <c r="G291" s="606"/>
      <c r="H291" s="607"/>
      <c r="I291" s="606"/>
      <c r="J291" s="606"/>
      <c r="K291" s="606"/>
      <c r="L291" s="606"/>
      <c r="M291" s="606"/>
      <c r="N291" s="608"/>
      <c r="O291" s="608"/>
      <c r="P291" s="608"/>
      <c r="Q291" s="608"/>
    </row>
    <row r="292" spans="2:17" ht="27.75" customHeight="1" x14ac:dyDescent="0.25">
      <c r="B292" s="606"/>
      <c r="C292" s="606"/>
      <c r="D292" s="606"/>
      <c r="E292" s="606"/>
      <c r="F292" s="606"/>
      <c r="G292" s="606"/>
      <c r="H292" s="607"/>
      <c r="I292" s="606"/>
      <c r="J292" s="606"/>
      <c r="K292" s="606"/>
      <c r="L292" s="606"/>
      <c r="M292" s="606"/>
      <c r="N292" s="608"/>
      <c r="O292" s="608"/>
      <c r="P292" s="608"/>
      <c r="Q292" s="608"/>
    </row>
    <row r="293" spans="2:17" ht="27.75" customHeight="1" x14ac:dyDescent="0.25">
      <c r="B293" s="606"/>
      <c r="C293" s="606"/>
      <c r="D293" s="606"/>
      <c r="E293" s="606"/>
      <c r="F293" s="606"/>
      <c r="G293" s="606"/>
      <c r="H293" s="607"/>
      <c r="I293" s="606"/>
      <c r="J293" s="606"/>
      <c r="K293" s="606"/>
      <c r="L293" s="606"/>
      <c r="M293" s="606"/>
      <c r="N293" s="608"/>
      <c r="O293" s="608"/>
      <c r="P293" s="608"/>
      <c r="Q293" s="608"/>
    </row>
    <row r="294" spans="2:17" ht="27.75" customHeight="1" x14ac:dyDescent="0.25">
      <c r="B294" s="606"/>
      <c r="C294" s="606"/>
      <c r="D294" s="606"/>
      <c r="E294" s="606"/>
      <c r="F294" s="606"/>
      <c r="G294" s="606"/>
      <c r="H294" s="607"/>
      <c r="I294" s="606"/>
      <c r="J294" s="606"/>
      <c r="K294" s="606"/>
      <c r="L294" s="606"/>
      <c r="M294" s="606"/>
      <c r="N294" s="608"/>
      <c r="O294" s="608"/>
      <c r="P294" s="608"/>
      <c r="Q294" s="608"/>
    </row>
    <row r="295" spans="2:17" ht="27.75" customHeight="1" x14ac:dyDescent="0.25">
      <c r="B295" s="606"/>
      <c r="C295" s="606"/>
      <c r="D295" s="606"/>
      <c r="E295" s="606"/>
      <c r="F295" s="606"/>
      <c r="G295" s="606"/>
      <c r="H295" s="607"/>
      <c r="I295" s="606"/>
      <c r="J295" s="606"/>
      <c r="K295" s="606"/>
      <c r="L295" s="606"/>
      <c r="M295" s="606"/>
      <c r="N295" s="608"/>
      <c r="O295" s="608"/>
      <c r="P295" s="608"/>
      <c r="Q295" s="608"/>
    </row>
    <row r="296" spans="2:17" ht="27.75" customHeight="1" x14ac:dyDescent="0.25">
      <c r="B296" s="606"/>
      <c r="C296" s="606"/>
      <c r="D296" s="606"/>
      <c r="E296" s="606"/>
      <c r="F296" s="606"/>
      <c r="G296" s="606"/>
      <c r="H296" s="607"/>
      <c r="I296" s="606"/>
      <c r="J296" s="606"/>
      <c r="K296" s="606"/>
      <c r="L296" s="606"/>
      <c r="M296" s="606"/>
      <c r="N296" s="608"/>
      <c r="O296" s="608"/>
      <c r="P296" s="608"/>
      <c r="Q296" s="608"/>
    </row>
    <row r="297" spans="2:17" ht="27.75" customHeight="1" x14ac:dyDescent="0.25">
      <c r="B297" s="606"/>
      <c r="C297" s="606"/>
      <c r="D297" s="606"/>
      <c r="E297" s="606"/>
      <c r="F297" s="606"/>
      <c r="G297" s="606"/>
      <c r="H297" s="607"/>
      <c r="I297" s="606"/>
      <c r="J297" s="606"/>
      <c r="K297" s="606"/>
      <c r="L297" s="606"/>
      <c r="M297" s="606"/>
      <c r="N297" s="608"/>
      <c r="O297" s="608"/>
      <c r="P297" s="608"/>
      <c r="Q297" s="608"/>
    </row>
    <row r="298" spans="2:17" ht="27.75" customHeight="1" x14ac:dyDescent="0.25">
      <c r="B298" s="606"/>
      <c r="C298" s="606"/>
      <c r="D298" s="606"/>
      <c r="E298" s="606"/>
      <c r="F298" s="606"/>
      <c r="G298" s="606"/>
      <c r="H298" s="607"/>
      <c r="I298" s="606"/>
      <c r="J298" s="606"/>
      <c r="K298" s="606"/>
      <c r="L298" s="606"/>
      <c r="M298" s="606"/>
      <c r="N298" s="608"/>
      <c r="O298" s="608"/>
      <c r="P298" s="608"/>
      <c r="Q298" s="608"/>
    </row>
    <row r="299" spans="2:17" ht="27.75" customHeight="1" x14ac:dyDescent="0.25">
      <c r="B299" s="606"/>
      <c r="C299" s="606"/>
      <c r="D299" s="606"/>
      <c r="E299" s="606"/>
      <c r="F299" s="606"/>
      <c r="G299" s="606"/>
      <c r="H299" s="607"/>
      <c r="I299" s="606"/>
      <c r="J299" s="606"/>
      <c r="K299" s="606"/>
      <c r="L299" s="606"/>
      <c r="M299" s="606"/>
      <c r="N299" s="608"/>
      <c r="O299" s="608"/>
      <c r="P299" s="608"/>
      <c r="Q299" s="608"/>
    </row>
    <row r="300" spans="2:17" ht="27.75" customHeight="1" x14ac:dyDescent="0.25">
      <c r="B300" s="606"/>
      <c r="C300" s="606"/>
      <c r="D300" s="606"/>
      <c r="E300" s="606"/>
      <c r="F300" s="606"/>
      <c r="G300" s="606"/>
      <c r="H300" s="607"/>
      <c r="I300" s="606"/>
      <c r="J300" s="606"/>
      <c r="K300" s="606"/>
      <c r="L300" s="606"/>
      <c r="M300" s="606"/>
      <c r="N300" s="608"/>
      <c r="O300" s="608"/>
      <c r="P300" s="608"/>
      <c r="Q300" s="608"/>
    </row>
    <row r="301" spans="2:17" ht="27.75" customHeight="1" x14ac:dyDescent="0.25">
      <c r="B301" s="606"/>
      <c r="C301" s="606"/>
      <c r="D301" s="606"/>
      <c r="E301" s="606"/>
      <c r="F301" s="606"/>
      <c r="G301" s="606"/>
      <c r="H301" s="607"/>
      <c r="I301" s="606"/>
      <c r="J301" s="606"/>
      <c r="K301" s="606"/>
      <c r="L301" s="606"/>
      <c r="M301" s="606"/>
      <c r="N301" s="608"/>
      <c r="O301" s="608"/>
      <c r="P301" s="608"/>
      <c r="Q301" s="608"/>
    </row>
    <row r="302" spans="2:17" ht="27.75" customHeight="1" x14ac:dyDescent="0.25">
      <c r="B302" s="606"/>
      <c r="C302" s="606"/>
      <c r="D302" s="606"/>
      <c r="E302" s="606"/>
      <c r="F302" s="606"/>
      <c r="G302" s="606"/>
      <c r="H302" s="607"/>
      <c r="I302" s="606"/>
      <c r="J302" s="606"/>
      <c r="K302" s="606"/>
      <c r="L302" s="606"/>
      <c r="M302" s="606"/>
      <c r="N302" s="608"/>
      <c r="O302" s="608"/>
      <c r="P302" s="608"/>
      <c r="Q302" s="608"/>
    </row>
    <row r="303" spans="2:17" ht="27.75" customHeight="1" x14ac:dyDescent="0.25">
      <c r="B303" s="606"/>
      <c r="C303" s="606"/>
      <c r="D303" s="606"/>
      <c r="E303" s="606"/>
      <c r="F303" s="606"/>
      <c r="G303" s="606"/>
      <c r="H303" s="607"/>
      <c r="I303" s="606"/>
      <c r="J303" s="606"/>
      <c r="K303" s="606"/>
      <c r="L303" s="606"/>
      <c r="M303" s="606"/>
      <c r="N303" s="608"/>
      <c r="O303" s="608"/>
      <c r="P303" s="608"/>
      <c r="Q303" s="608"/>
    </row>
    <row r="304" spans="2:17" ht="27.75" customHeight="1" x14ac:dyDescent="0.25">
      <c r="B304" s="606"/>
      <c r="C304" s="606"/>
      <c r="D304" s="606"/>
      <c r="E304" s="606"/>
      <c r="F304" s="606"/>
      <c r="G304" s="606"/>
      <c r="H304" s="607"/>
      <c r="I304" s="606"/>
      <c r="J304" s="606"/>
      <c r="K304" s="606"/>
      <c r="L304" s="606"/>
      <c r="M304" s="606"/>
      <c r="N304" s="608"/>
      <c r="O304" s="608"/>
      <c r="P304" s="608"/>
      <c r="Q304" s="608"/>
    </row>
    <row r="305" spans="2:17" ht="27.75" customHeight="1" x14ac:dyDescent="0.25">
      <c r="B305" s="606"/>
      <c r="C305" s="606"/>
      <c r="D305" s="606"/>
      <c r="E305" s="606"/>
      <c r="F305" s="606"/>
      <c r="G305" s="606"/>
      <c r="H305" s="607"/>
      <c r="I305" s="606"/>
      <c r="J305" s="606"/>
      <c r="K305" s="606"/>
      <c r="L305" s="606"/>
      <c r="M305" s="606"/>
      <c r="N305" s="608"/>
      <c r="O305" s="608"/>
      <c r="P305" s="608"/>
      <c r="Q305" s="608"/>
    </row>
    <row r="306" spans="2:17" ht="27.75" customHeight="1" x14ac:dyDescent="0.25">
      <c r="B306" s="606"/>
      <c r="C306" s="606"/>
      <c r="D306" s="606"/>
      <c r="E306" s="606"/>
      <c r="F306" s="606"/>
      <c r="G306" s="606"/>
      <c r="H306" s="607"/>
      <c r="I306" s="606"/>
      <c r="J306" s="606"/>
      <c r="K306" s="606"/>
      <c r="L306" s="606"/>
      <c r="M306" s="606"/>
      <c r="N306" s="608"/>
      <c r="O306" s="608"/>
      <c r="P306" s="608"/>
      <c r="Q306" s="608"/>
    </row>
    <row r="307" spans="2:17" ht="27.75" customHeight="1" x14ac:dyDescent="0.25">
      <c r="B307" s="606"/>
      <c r="C307" s="606"/>
      <c r="D307" s="606"/>
      <c r="E307" s="606"/>
      <c r="F307" s="606"/>
      <c r="G307" s="606"/>
      <c r="H307" s="607"/>
      <c r="I307" s="606"/>
      <c r="J307" s="606"/>
      <c r="K307" s="606"/>
      <c r="L307" s="606"/>
      <c r="M307" s="606"/>
      <c r="N307" s="608"/>
      <c r="O307" s="608"/>
      <c r="P307" s="608"/>
      <c r="Q307" s="608"/>
    </row>
    <row r="308" spans="2:17" ht="27.75" customHeight="1" x14ac:dyDescent="0.25">
      <c r="B308" s="606"/>
      <c r="C308" s="606"/>
      <c r="D308" s="606"/>
      <c r="E308" s="606"/>
      <c r="F308" s="606"/>
      <c r="G308" s="606"/>
      <c r="H308" s="607"/>
      <c r="I308" s="606"/>
      <c r="J308" s="606"/>
      <c r="K308" s="606"/>
      <c r="L308" s="606"/>
      <c r="M308" s="606"/>
      <c r="N308" s="608"/>
      <c r="O308" s="608"/>
      <c r="P308" s="608"/>
      <c r="Q308" s="608"/>
    </row>
    <row r="309" spans="2:17" ht="27.75" customHeight="1" x14ac:dyDescent="0.25">
      <c r="B309" s="606"/>
      <c r="C309" s="606"/>
      <c r="D309" s="606"/>
      <c r="E309" s="606"/>
      <c r="F309" s="606"/>
      <c r="G309" s="606"/>
      <c r="H309" s="607"/>
      <c r="I309" s="606"/>
      <c r="J309" s="606"/>
      <c r="K309" s="606"/>
      <c r="L309" s="606"/>
      <c r="M309" s="606"/>
      <c r="N309" s="608"/>
      <c r="O309" s="608"/>
      <c r="P309" s="608"/>
      <c r="Q309" s="608"/>
    </row>
    <row r="310" spans="2:17" ht="27.75" customHeight="1" x14ac:dyDescent="0.25">
      <c r="B310" s="606"/>
      <c r="C310" s="606"/>
      <c r="D310" s="606"/>
      <c r="E310" s="606"/>
      <c r="F310" s="606"/>
      <c r="G310" s="606"/>
      <c r="H310" s="607"/>
      <c r="I310" s="606"/>
      <c r="J310" s="606"/>
      <c r="K310" s="606"/>
      <c r="L310" s="606"/>
      <c r="M310" s="606"/>
      <c r="N310" s="608"/>
      <c r="O310" s="608"/>
      <c r="P310" s="608"/>
      <c r="Q310" s="608"/>
    </row>
    <row r="311" spans="2:17" ht="27.75" customHeight="1" x14ac:dyDescent="0.25">
      <c r="B311" s="606"/>
      <c r="C311" s="606"/>
      <c r="D311" s="606"/>
      <c r="E311" s="606"/>
      <c r="F311" s="606"/>
      <c r="G311" s="606"/>
      <c r="H311" s="607"/>
      <c r="I311" s="606"/>
      <c r="J311" s="606"/>
      <c r="K311" s="606"/>
      <c r="L311" s="606"/>
      <c r="M311" s="606"/>
      <c r="N311" s="608"/>
      <c r="O311" s="608"/>
      <c r="P311" s="608"/>
      <c r="Q311" s="608"/>
    </row>
    <row r="312" spans="2:17" ht="27.75" customHeight="1" x14ac:dyDescent="0.25">
      <c r="B312" s="606"/>
      <c r="C312" s="606"/>
      <c r="D312" s="606"/>
      <c r="E312" s="606"/>
      <c r="F312" s="606"/>
      <c r="G312" s="606"/>
      <c r="H312" s="607"/>
      <c r="I312" s="606"/>
      <c r="J312" s="606"/>
      <c r="K312" s="606"/>
      <c r="L312" s="606"/>
      <c r="M312" s="606"/>
      <c r="N312" s="608"/>
      <c r="O312" s="608"/>
      <c r="P312" s="608"/>
      <c r="Q312" s="608"/>
    </row>
    <row r="313" spans="2:17" ht="27.75" customHeight="1" x14ac:dyDescent="0.25">
      <c r="B313" s="606"/>
      <c r="C313" s="606"/>
      <c r="D313" s="606"/>
      <c r="E313" s="606"/>
      <c r="F313" s="606"/>
      <c r="G313" s="606"/>
      <c r="H313" s="607"/>
      <c r="I313" s="606"/>
      <c r="J313" s="606"/>
      <c r="K313" s="606"/>
      <c r="L313" s="606"/>
      <c r="M313" s="606"/>
      <c r="N313" s="608"/>
      <c r="O313" s="608"/>
      <c r="P313" s="608"/>
      <c r="Q313" s="608"/>
    </row>
    <row r="314" spans="2:17" ht="27.75" customHeight="1" x14ac:dyDescent="0.25">
      <c r="B314" s="606"/>
      <c r="C314" s="606"/>
      <c r="D314" s="606"/>
      <c r="E314" s="606"/>
      <c r="F314" s="606"/>
      <c r="G314" s="606"/>
      <c r="H314" s="607"/>
      <c r="I314" s="606"/>
      <c r="J314" s="606"/>
      <c r="K314" s="606"/>
      <c r="L314" s="606"/>
      <c r="M314" s="606"/>
      <c r="N314" s="608"/>
      <c r="O314" s="608"/>
      <c r="P314" s="608"/>
      <c r="Q314" s="608"/>
    </row>
    <row r="315" spans="2:17" ht="27.75" customHeight="1" x14ac:dyDescent="0.25">
      <c r="B315" s="606"/>
      <c r="C315" s="606"/>
      <c r="D315" s="606"/>
      <c r="E315" s="606"/>
      <c r="F315" s="606"/>
      <c r="G315" s="606"/>
      <c r="H315" s="607"/>
      <c r="I315" s="606"/>
      <c r="J315" s="606"/>
      <c r="K315" s="606"/>
      <c r="L315" s="606"/>
      <c r="M315" s="606"/>
      <c r="N315" s="608"/>
      <c r="O315" s="608"/>
      <c r="P315" s="608"/>
      <c r="Q315" s="608"/>
    </row>
    <row r="316" spans="2:17" ht="27.75" customHeight="1" x14ac:dyDescent="0.25">
      <c r="B316" s="606"/>
      <c r="C316" s="606"/>
      <c r="D316" s="606"/>
      <c r="E316" s="606"/>
      <c r="F316" s="606"/>
      <c r="G316" s="606"/>
      <c r="H316" s="607"/>
      <c r="I316" s="606"/>
      <c r="J316" s="606"/>
      <c r="K316" s="606"/>
      <c r="L316" s="606"/>
      <c r="M316" s="606"/>
      <c r="N316" s="608"/>
      <c r="O316" s="608"/>
      <c r="P316" s="608"/>
      <c r="Q316" s="608"/>
    </row>
    <row r="317" spans="2:17" ht="27.75" customHeight="1" x14ac:dyDescent="0.25">
      <c r="B317" s="606"/>
      <c r="C317" s="606"/>
      <c r="D317" s="606"/>
      <c r="E317" s="606"/>
      <c r="F317" s="606"/>
      <c r="G317" s="606"/>
      <c r="H317" s="607"/>
      <c r="I317" s="606"/>
      <c r="J317" s="606"/>
      <c r="K317" s="606"/>
      <c r="L317" s="606"/>
      <c r="M317" s="606"/>
      <c r="N317" s="608"/>
      <c r="O317" s="608"/>
      <c r="P317" s="608"/>
      <c r="Q317" s="608"/>
    </row>
    <row r="318" spans="2:17" ht="27.75" customHeight="1" x14ac:dyDescent="0.25">
      <c r="B318" s="606"/>
      <c r="C318" s="606"/>
      <c r="D318" s="606"/>
      <c r="E318" s="606"/>
      <c r="F318" s="606"/>
      <c r="G318" s="606"/>
      <c r="H318" s="607"/>
      <c r="I318" s="606"/>
      <c r="J318" s="606"/>
      <c r="K318" s="606"/>
      <c r="L318" s="606"/>
      <c r="M318" s="606"/>
      <c r="N318" s="608"/>
      <c r="O318" s="608"/>
      <c r="P318" s="608"/>
      <c r="Q318" s="608"/>
    </row>
    <row r="319" spans="2:17" ht="27.75" customHeight="1" x14ac:dyDescent="0.25">
      <c r="B319" s="606"/>
      <c r="C319" s="606"/>
      <c r="D319" s="606"/>
      <c r="E319" s="606"/>
      <c r="F319" s="606"/>
      <c r="G319" s="606"/>
      <c r="H319" s="607"/>
      <c r="I319" s="606"/>
      <c r="J319" s="606"/>
      <c r="K319" s="606"/>
      <c r="L319" s="606"/>
      <c r="M319" s="606"/>
      <c r="N319" s="608"/>
      <c r="O319" s="608"/>
      <c r="P319" s="608"/>
      <c r="Q319" s="608"/>
    </row>
    <row r="320" spans="2:17" ht="27.75" customHeight="1" x14ac:dyDescent="0.25">
      <c r="B320" s="606"/>
      <c r="C320" s="606"/>
      <c r="D320" s="606"/>
      <c r="E320" s="606"/>
      <c r="F320" s="606"/>
      <c r="G320" s="606"/>
      <c r="H320" s="607"/>
      <c r="I320" s="606"/>
      <c r="J320" s="606"/>
      <c r="K320" s="606"/>
      <c r="L320" s="606"/>
      <c r="M320" s="606"/>
      <c r="N320" s="608"/>
      <c r="O320" s="608"/>
      <c r="P320" s="608"/>
      <c r="Q320" s="608"/>
    </row>
    <row r="321" spans="2:17" ht="27.75" customHeight="1" x14ac:dyDescent="0.25">
      <c r="B321" s="606"/>
      <c r="C321" s="606"/>
      <c r="D321" s="606"/>
      <c r="E321" s="606"/>
      <c r="F321" s="606"/>
      <c r="G321" s="606"/>
      <c r="H321" s="607"/>
      <c r="I321" s="606"/>
      <c r="J321" s="606"/>
      <c r="K321" s="606"/>
      <c r="L321" s="606"/>
      <c r="M321" s="606"/>
      <c r="N321" s="608"/>
      <c r="O321" s="608"/>
      <c r="P321" s="608"/>
      <c r="Q321" s="608"/>
    </row>
    <row r="322" spans="2:17" ht="27.75" customHeight="1" x14ac:dyDescent="0.25">
      <c r="B322" s="606"/>
      <c r="C322" s="606"/>
      <c r="D322" s="606"/>
      <c r="E322" s="606"/>
      <c r="F322" s="606"/>
      <c r="G322" s="606"/>
      <c r="H322" s="607"/>
      <c r="I322" s="606"/>
      <c r="J322" s="606"/>
      <c r="K322" s="606"/>
      <c r="L322" s="606"/>
      <c r="M322" s="606"/>
      <c r="N322" s="608"/>
      <c r="O322" s="608"/>
      <c r="P322" s="608"/>
      <c r="Q322" s="608"/>
    </row>
    <row r="323" spans="2:17" ht="27.75" customHeight="1" x14ac:dyDescent="0.25">
      <c r="B323" s="606"/>
      <c r="C323" s="606"/>
      <c r="D323" s="606"/>
      <c r="E323" s="606"/>
      <c r="F323" s="606"/>
      <c r="G323" s="606"/>
      <c r="H323" s="607"/>
      <c r="I323" s="606"/>
      <c r="J323" s="606"/>
      <c r="K323" s="606"/>
      <c r="L323" s="606"/>
      <c r="M323" s="606"/>
      <c r="N323" s="608"/>
      <c r="O323" s="608"/>
      <c r="P323" s="608"/>
      <c r="Q323" s="608"/>
    </row>
    <row r="324" spans="2:17" ht="27.75" customHeight="1" x14ac:dyDescent="0.25">
      <c r="B324" s="606"/>
      <c r="C324" s="606"/>
      <c r="D324" s="606"/>
      <c r="E324" s="606"/>
      <c r="F324" s="606"/>
      <c r="G324" s="606"/>
      <c r="H324" s="607"/>
      <c r="I324" s="606"/>
      <c r="J324" s="606"/>
      <c r="K324" s="606"/>
      <c r="L324" s="606"/>
      <c r="M324" s="606"/>
      <c r="N324" s="608"/>
      <c r="O324" s="608"/>
      <c r="P324" s="608"/>
      <c r="Q324" s="608"/>
    </row>
    <row r="325" spans="2:17" ht="27.75" customHeight="1" x14ac:dyDescent="0.25">
      <c r="B325" s="606"/>
      <c r="C325" s="606"/>
      <c r="D325" s="606"/>
      <c r="E325" s="606"/>
      <c r="F325" s="606"/>
      <c r="G325" s="606"/>
      <c r="H325" s="607"/>
      <c r="I325" s="606"/>
      <c r="J325" s="606"/>
      <c r="K325" s="606"/>
      <c r="L325" s="606"/>
      <c r="M325" s="606"/>
      <c r="N325" s="608"/>
      <c r="O325" s="608"/>
      <c r="P325" s="608"/>
      <c r="Q325" s="608"/>
    </row>
    <row r="326" spans="2:17" ht="27.75" customHeight="1" x14ac:dyDescent="0.25">
      <c r="B326" s="606"/>
      <c r="C326" s="606"/>
      <c r="D326" s="606"/>
      <c r="E326" s="606"/>
      <c r="F326" s="606"/>
      <c r="G326" s="606"/>
      <c r="H326" s="607"/>
      <c r="I326" s="606"/>
      <c r="J326" s="606"/>
      <c r="K326" s="606"/>
      <c r="L326" s="606"/>
      <c r="M326" s="606"/>
      <c r="N326" s="608"/>
      <c r="O326" s="608"/>
      <c r="P326" s="608"/>
      <c r="Q326" s="608"/>
    </row>
    <row r="327" spans="2:17" ht="27.75" customHeight="1" x14ac:dyDescent="0.25">
      <c r="B327" s="606"/>
      <c r="C327" s="606"/>
      <c r="D327" s="606"/>
      <c r="E327" s="606"/>
      <c r="F327" s="606"/>
      <c r="G327" s="606"/>
      <c r="H327" s="607"/>
      <c r="I327" s="606"/>
      <c r="J327" s="606"/>
      <c r="K327" s="606"/>
      <c r="L327" s="606"/>
      <c r="M327" s="606"/>
      <c r="N327" s="608"/>
      <c r="O327" s="608"/>
      <c r="P327" s="608"/>
      <c r="Q327" s="608"/>
    </row>
    <row r="328" spans="2:17" ht="27.75" customHeight="1" x14ac:dyDescent="0.25">
      <c r="B328" s="606"/>
      <c r="C328" s="606"/>
      <c r="D328" s="606"/>
      <c r="E328" s="606"/>
      <c r="F328" s="606"/>
      <c r="G328" s="606"/>
      <c r="H328" s="607"/>
      <c r="I328" s="606"/>
      <c r="J328" s="606"/>
      <c r="K328" s="606"/>
      <c r="L328" s="606"/>
      <c r="M328" s="606"/>
      <c r="N328" s="608"/>
      <c r="O328" s="608"/>
      <c r="P328" s="608"/>
      <c r="Q328" s="608"/>
    </row>
    <row r="329" spans="2:17" ht="27.75" customHeight="1" x14ac:dyDescent="0.25">
      <c r="B329" s="606"/>
      <c r="C329" s="606"/>
      <c r="D329" s="606"/>
      <c r="E329" s="606"/>
      <c r="F329" s="606"/>
      <c r="G329" s="606"/>
      <c r="H329" s="607"/>
      <c r="I329" s="606"/>
      <c r="J329" s="606"/>
      <c r="K329" s="606"/>
      <c r="L329" s="606"/>
      <c r="M329" s="606"/>
      <c r="N329" s="608"/>
      <c r="O329" s="608"/>
      <c r="P329" s="608"/>
      <c r="Q329" s="608"/>
    </row>
    <row r="330" spans="2:17" ht="27.75" customHeight="1" x14ac:dyDescent="0.25">
      <c r="B330" s="606"/>
      <c r="C330" s="606"/>
      <c r="D330" s="606"/>
      <c r="E330" s="606"/>
      <c r="F330" s="606"/>
      <c r="G330" s="606"/>
      <c r="H330" s="607"/>
      <c r="I330" s="606"/>
      <c r="J330" s="606"/>
      <c r="K330" s="606"/>
      <c r="L330" s="606"/>
      <c r="M330" s="606"/>
      <c r="N330" s="608"/>
      <c r="O330" s="608"/>
      <c r="P330" s="608"/>
      <c r="Q330" s="608"/>
    </row>
    <row r="331" spans="2:17" ht="27.75" customHeight="1" x14ac:dyDescent="0.25">
      <c r="B331" s="606"/>
      <c r="C331" s="606"/>
      <c r="D331" s="606"/>
      <c r="E331" s="606"/>
      <c r="F331" s="606"/>
      <c r="G331" s="606"/>
      <c r="H331" s="607"/>
      <c r="I331" s="606"/>
      <c r="J331" s="606"/>
      <c r="K331" s="606"/>
      <c r="L331" s="606"/>
      <c r="M331" s="606"/>
      <c r="N331" s="608"/>
      <c r="O331" s="608"/>
      <c r="P331" s="608"/>
      <c r="Q331" s="608"/>
    </row>
    <row r="332" spans="2:17" ht="27.75" customHeight="1" x14ac:dyDescent="0.25">
      <c r="B332" s="606"/>
      <c r="C332" s="606"/>
      <c r="D332" s="606"/>
      <c r="E332" s="606"/>
      <c r="F332" s="606"/>
      <c r="G332" s="606"/>
      <c r="H332" s="607"/>
      <c r="I332" s="606"/>
      <c r="J332" s="606"/>
      <c r="K332" s="606"/>
      <c r="L332" s="606"/>
      <c r="M332" s="606"/>
      <c r="N332" s="608"/>
      <c r="O332" s="608"/>
      <c r="P332" s="608"/>
      <c r="Q332" s="608"/>
    </row>
    <row r="333" spans="2:17" ht="27.75" customHeight="1" x14ac:dyDescent="0.25">
      <c r="B333" s="606"/>
      <c r="C333" s="606"/>
      <c r="D333" s="606"/>
      <c r="E333" s="606"/>
      <c r="F333" s="606"/>
      <c r="G333" s="606"/>
      <c r="H333" s="607"/>
      <c r="I333" s="606"/>
      <c r="J333" s="606"/>
      <c r="K333" s="606"/>
      <c r="L333" s="606"/>
      <c r="M333" s="606"/>
      <c r="N333" s="608"/>
      <c r="O333" s="608"/>
      <c r="P333" s="608"/>
      <c r="Q333" s="608"/>
    </row>
    <row r="334" spans="2:17" ht="27.75" customHeight="1" x14ac:dyDescent="0.25">
      <c r="B334" s="606"/>
      <c r="C334" s="606"/>
      <c r="D334" s="606"/>
      <c r="E334" s="606"/>
      <c r="F334" s="606"/>
      <c r="G334" s="606"/>
      <c r="H334" s="607"/>
      <c r="I334" s="606"/>
      <c r="J334" s="606"/>
      <c r="K334" s="606"/>
      <c r="L334" s="606"/>
      <c r="M334" s="606"/>
      <c r="N334" s="608"/>
      <c r="O334" s="608"/>
      <c r="P334" s="608"/>
      <c r="Q334" s="608"/>
    </row>
    <row r="335" spans="2:17" ht="27.75" customHeight="1" x14ac:dyDescent="0.25">
      <c r="B335" s="606"/>
      <c r="C335" s="606"/>
      <c r="D335" s="606"/>
      <c r="E335" s="606"/>
      <c r="F335" s="606"/>
      <c r="G335" s="606"/>
      <c r="H335" s="607"/>
      <c r="I335" s="606"/>
      <c r="J335" s="606"/>
      <c r="K335" s="606"/>
      <c r="L335" s="606"/>
      <c r="M335" s="606"/>
      <c r="N335" s="608"/>
      <c r="O335" s="608"/>
      <c r="P335" s="608"/>
      <c r="Q335" s="608"/>
    </row>
    <row r="336" spans="2:17" ht="27.75" customHeight="1" x14ac:dyDescent="0.25">
      <c r="B336" s="606"/>
      <c r="C336" s="606"/>
      <c r="D336" s="606"/>
      <c r="E336" s="606"/>
      <c r="F336" s="606"/>
      <c r="G336" s="606"/>
      <c r="H336" s="607"/>
      <c r="I336" s="606"/>
      <c r="J336" s="606"/>
      <c r="K336" s="606"/>
      <c r="L336" s="606"/>
      <c r="M336" s="606"/>
      <c r="N336" s="608"/>
      <c r="O336" s="608"/>
      <c r="P336" s="608"/>
      <c r="Q336" s="608"/>
    </row>
    <row r="337" spans="2:17" ht="27.75" customHeight="1" x14ac:dyDescent="0.25">
      <c r="B337" s="606"/>
      <c r="C337" s="606"/>
      <c r="D337" s="606"/>
      <c r="E337" s="606"/>
      <c r="F337" s="606"/>
      <c r="G337" s="606"/>
      <c r="H337" s="607"/>
      <c r="I337" s="606"/>
      <c r="J337" s="606"/>
      <c r="K337" s="606"/>
      <c r="L337" s="606"/>
      <c r="M337" s="606"/>
      <c r="N337" s="608"/>
      <c r="O337" s="608"/>
      <c r="P337" s="608"/>
      <c r="Q337" s="608"/>
    </row>
    <row r="338" spans="2:17" ht="27.75" customHeight="1" x14ac:dyDescent="0.25">
      <c r="B338" s="606"/>
      <c r="C338" s="606"/>
      <c r="D338" s="606"/>
      <c r="E338" s="606"/>
      <c r="F338" s="606"/>
      <c r="G338" s="606"/>
      <c r="H338" s="607"/>
      <c r="I338" s="606"/>
      <c r="J338" s="606"/>
      <c r="K338" s="606"/>
      <c r="L338" s="606"/>
      <c r="M338" s="606"/>
      <c r="N338" s="608"/>
      <c r="O338" s="608"/>
      <c r="P338" s="608"/>
      <c r="Q338" s="608"/>
    </row>
    <row r="339" spans="2:17" ht="27.75" customHeight="1" x14ac:dyDescent="0.25">
      <c r="B339" s="606"/>
      <c r="C339" s="606"/>
      <c r="D339" s="606"/>
      <c r="E339" s="606"/>
      <c r="F339" s="606"/>
      <c r="G339" s="606"/>
      <c r="H339" s="607"/>
      <c r="I339" s="606"/>
      <c r="J339" s="606"/>
      <c r="K339" s="606"/>
      <c r="L339" s="606"/>
      <c r="M339" s="606"/>
      <c r="N339" s="608"/>
      <c r="O339" s="608"/>
      <c r="P339" s="608"/>
      <c r="Q339" s="608"/>
    </row>
    <row r="340" spans="2:17" ht="27.75" customHeight="1" x14ac:dyDescent="0.25">
      <c r="B340" s="606"/>
      <c r="C340" s="606"/>
      <c r="D340" s="606"/>
      <c r="E340" s="606"/>
      <c r="F340" s="606"/>
      <c r="G340" s="606"/>
      <c r="H340" s="607"/>
      <c r="I340" s="606"/>
      <c r="J340" s="606"/>
      <c r="K340" s="606"/>
      <c r="L340" s="606"/>
      <c r="M340" s="606"/>
      <c r="N340" s="608"/>
      <c r="O340" s="608"/>
      <c r="P340" s="608"/>
      <c r="Q340" s="608"/>
    </row>
    <row r="341" spans="2:17" ht="27.75" customHeight="1" x14ac:dyDescent="0.25">
      <c r="B341" s="606"/>
      <c r="C341" s="606"/>
      <c r="D341" s="606"/>
      <c r="E341" s="606"/>
      <c r="F341" s="606"/>
      <c r="G341" s="606"/>
      <c r="H341" s="607"/>
      <c r="I341" s="606"/>
      <c r="J341" s="606"/>
      <c r="K341" s="606"/>
      <c r="L341" s="606"/>
      <c r="M341" s="606"/>
      <c r="N341" s="608"/>
      <c r="O341" s="608"/>
      <c r="P341" s="608"/>
      <c r="Q341" s="608"/>
    </row>
    <row r="342" spans="2:17" ht="27.75" customHeight="1" x14ac:dyDescent="0.25">
      <c r="B342" s="606"/>
      <c r="C342" s="606"/>
      <c r="D342" s="606"/>
      <c r="E342" s="606"/>
      <c r="F342" s="606"/>
      <c r="G342" s="606"/>
      <c r="H342" s="607"/>
      <c r="I342" s="606"/>
      <c r="J342" s="606"/>
      <c r="K342" s="606"/>
      <c r="L342" s="606"/>
      <c r="M342" s="606"/>
      <c r="N342" s="608"/>
      <c r="O342" s="608"/>
      <c r="P342" s="608"/>
      <c r="Q342" s="608"/>
    </row>
    <row r="343" spans="2:17" ht="27.75" customHeight="1" x14ac:dyDescent="0.25">
      <c r="B343" s="606"/>
      <c r="C343" s="606"/>
      <c r="D343" s="606"/>
      <c r="E343" s="606"/>
      <c r="F343" s="606"/>
      <c r="G343" s="606"/>
      <c r="H343" s="607"/>
      <c r="I343" s="606"/>
      <c r="J343" s="606"/>
      <c r="K343" s="606"/>
      <c r="L343" s="606"/>
      <c r="M343" s="606"/>
      <c r="N343" s="608"/>
      <c r="O343" s="608"/>
      <c r="P343" s="608"/>
      <c r="Q343" s="608"/>
    </row>
    <row r="344" spans="2:17" ht="27.75" customHeight="1" x14ac:dyDescent="0.25">
      <c r="B344" s="606"/>
      <c r="C344" s="606"/>
      <c r="D344" s="606"/>
      <c r="E344" s="606"/>
      <c r="F344" s="606"/>
      <c r="G344" s="606"/>
      <c r="H344" s="607"/>
      <c r="I344" s="606"/>
      <c r="J344" s="606"/>
      <c r="K344" s="606"/>
      <c r="L344" s="606"/>
      <c r="M344" s="606"/>
      <c r="N344" s="608"/>
      <c r="O344" s="608"/>
      <c r="P344" s="608"/>
      <c r="Q344" s="608"/>
    </row>
    <row r="345" spans="2:17" ht="27.75" customHeight="1" x14ac:dyDescent="0.25">
      <c r="B345" s="606"/>
      <c r="C345" s="606"/>
      <c r="D345" s="606"/>
      <c r="E345" s="606"/>
      <c r="F345" s="606"/>
      <c r="G345" s="606"/>
      <c r="H345" s="607"/>
      <c r="I345" s="606"/>
      <c r="J345" s="606"/>
      <c r="K345" s="606"/>
      <c r="L345" s="606"/>
      <c r="M345" s="606"/>
      <c r="N345" s="608"/>
      <c r="O345" s="608"/>
      <c r="P345" s="608"/>
      <c r="Q345" s="608"/>
    </row>
    <row r="346" spans="2:17" ht="27.75" customHeight="1" x14ac:dyDescent="0.25">
      <c r="B346" s="606"/>
      <c r="C346" s="606"/>
      <c r="D346" s="606"/>
      <c r="E346" s="606"/>
      <c r="F346" s="606"/>
      <c r="G346" s="606"/>
      <c r="H346" s="607"/>
      <c r="I346" s="606"/>
      <c r="J346" s="606"/>
      <c r="K346" s="606"/>
      <c r="L346" s="606"/>
      <c r="M346" s="606"/>
      <c r="N346" s="608"/>
      <c r="O346" s="608"/>
      <c r="P346" s="608"/>
      <c r="Q346" s="608"/>
    </row>
    <row r="347" spans="2:17" ht="27.75" customHeight="1" x14ac:dyDescent="0.25">
      <c r="B347" s="606"/>
      <c r="C347" s="606"/>
      <c r="D347" s="606"/>
      <c r="E347" s="606"/>
      <c r="F347" s="606"/>
      <c r="G347" s="606"/>
      <c r="H347" s="607"/>
      <c r="I347" s="606"/>
      <c r="J347" s="606"/>
      <c r="K347" s="606"/>
      <c r="L347" s="606"/>
      <c r="M347" s="606"/>
      <c r="N347" s="608"/>
      <c r="O347" s="608"/>
      <c r="P347" s="608"/>
      <c r="Q347" s="608"/>
    </row>
    <row r="348" spans="2:17" ht="27.75" customHeight="1" x14ac:dyDescent="0.25">
      <c r="B348" s="606"/>
      <c r="C348" s="606"/>
      <c r="D348" s="606"/>
      <c r="E348" s="606"/>
      <c r="F348" s="606"/>
      <c r="G348" s="606"/>
      <c r="H348" s="607"/>
      <c r="I348" s="606"/>
      <c r="J348" s="606"/>
      <c r="K348" s="606"/>
      <c r="L348" s="606"/>
      <c r="M348" s="606"/>
      <c r="N348" s="608"/>
      <c r="O348" s="608"/>
      <c r="P348" s="608"/>
      <c r="Q348" s="608"/>
    </row>
    <row r="349" spans="2:17" ht="27.75" customHeight="1" x14ac:dyDescent="0.25">
      <c r="B349" s="606"/>
      <c r="C349" s="606"/>
      <c r="D349" s="606"/>
      <c r="E349" s="606"/>
      <c r="F349" s="606"/>
      <c r="G349" s="606"/>
      <c r="H349" s="607"/>
      <c r="I349" s="606"/>
      <c r="J349" s="606"/>
      <c r="K349" s="606"/>
      <c r="L349" s="606"/>
      <c r="M349" s="606"/>
      <c r="N349" s="608"/>
      <c r="O349" s="608"/>
      <c r="P349" s="608"/>
      <c r="Q349" s="608"/>
    </row>
    <row r="350" spans="2:17" ht="27.75" customHeight="1" x14ac:dyDescent="0.25">
      <c r="B350" s="606"/>
      <c r="C350" s="606"/>
      <c r="D350" s="606"/>
      <c r="E350" s="606"/>
      <c r="F350" s="606"/>
      <c r="G350" s="606"/>
      <c r="H350" s="607"/>
      <c r="I350" s="606"/>
      <c r="J350" s="606"/>
      <c r="K350" s="606"/>
      <c r="L350" s="606"/>
      <c r="M350" s="606"/>
      <c r="N350" s="608"/>
      <c r="O350" s="608"/>
      <c r="P350" s="608"/>
      <c r="Q350" s="608"/>
    </row>
    <row r="351" spans="2:17" ht="27.75" customHeight="1" x14ac:dyDescent="0.25">
      <c r="B351" s="606"/>
      <c r="C351" s="606"/>
      <c r="D351" s="606"/>
      <c r="E351" s="606"/>
      <c r="F351" s="606"/>
      <c r="G351" s="606"/>
      <c r="H351" s="607"/>
      <c r="I351" s="606"/>
      <c r="J351" s="606"/>
      <c r="K351" s="606"/>
      <c r="L351" s="606"/>
      <c r="M351" s="606"/>
      <c r="N351" s="608"/>
      <c r="O351" s="608"/>
      <c r="P351" s="608"/>
      <c r="Q351" s="608"/>
    </row>
    <row r="352" spans="2:17" ht="27.75" customHeight="1" x14ac:dyDescent="0.25">
      <c r="B352" s="606"/>
      <c r="C352" s="606"/>
      <c r="D352" s="606"/>
      <c r="E352" s="606"/>
      <c r="F352" s="606"/>
      <c r="G352" s="606"/>
      <c r="H352" s="607"/>
      <c r="I352" s="606"/>
      <c r="J352" s="606"/>
      <c r="K352" s="606"/>
      <c r="L352" s="606"/>
      <c r="M352" s="606"/>
      <c r="N352" s="608"/>
      <c r="O352" s="608"/>
      <c r="P352" s="608"/>
      <c r="Q352" s="608"/>
    </row>
    <row r="353" spans="2:17" ht="27.75" customHeight="1" x14ac:dyDescent="0.25">
      <c r="B353" s="606"/>
      <c r="C353" s="606"/>
      <c r="D353" s="606"/>
      <c r="E353" s="606"/>
      <c r="F353" s="606"/>
      <c r="G353" s="606"/>
      <c r="H353" s="607"/>
      <c r="I353" s="606"/>
      <c r="J353" s="606"/>
      <c r="K353" s="606"/>
      <c r="L353" s="606"/>
      <c r="M353" s="606"/>
      <c r="N353" s="608"/>
      <c r="O353" s="608"/>
      <c r="P353" s="608"/>
      <c r="Q353" s="608"/>
    </row>
    <row r="354" spans="2:17" ht="27.75" customHeight="1" x14ac:dyDescent="0.25">
      <c r="B354" s="606"/>
      <c r="C354" s="606"/>
      <c r="D354" s="606"/>
      <c r="E354" s="606"/>
      <c r="F354" s="606"/>
      <c r="G354" s="606"/>
      <c r="H354" s="607"/>
      <c r="I354" s="606"/>
      <c r="J354" s="606"/>
      <c r="K354" s="606"/>
      <c r="L354" s="606"/>
      <c r="M354" s="606"/>
      <c r="N354" s="608"/>
      <c r="O354" s="608"/>
      <c r="P354" s="608"/>
      <c r="Q354" s="608"/>
    </row>
    <row r="355" spans="2:17" ht="27.75" customHeight="1" x14ac:dyDescent="0.25">
      <c r="B355" s="606"/>
      <c r="C355" s="606"/>
      <c r="D355" s="606"/>
      <c r="E355" s="606"/>
      <c r="F355" s="606"/>
      <c r="G355" s="606"/>
      <c r="H355" s="607"/>
      <c r="I355" s="606"/>
      <c r="J355" s="606"/>
      <c r="K355" s="606"/>
      <c r="L355" s="606"/>
      <c r="M355" s="606"/>
      <c r="N355" s="608"/>
      <c r="O355" s="608"/>
      <c r="P355" s="608"/>
      <c r="Q355" s="608"/>
    </row>
    <row r="356" spans="2:17" ht="27.75" customHeight="1" x14ac:dyDescent="0.25">
      <c r="B356" s="606"/>
      <c r="C356" s="606"/>
      <c r="D356" s="606"/>
      <c r="E356" s="606"/>
      <c r="F356" s="606"/>
      <c r="G356" s="606"/>
      <c r="H356" s="607"/>
      <c r="I356" s="606"/>
      <c r="J356" s="606"/>
      <c r="K356" s="606"/>
      <c r="L356" s="606"/>
      <c r="M356" s="606"/>
      <c r="N356" s="608"/>
      <c r="O356" s="608"/>
      <c r="P356" s="608"/>
      <c r="Q356" s="608"/>
    </row>
    <row r="357" spans="2:17" ht="27.75" customHeight="1" x14ac:dyDescent="0.25">
      <c r="B357" s="606"/>
      <c r="C357" s="606"/>
      <c r="D357" s="606"/>
      <c r="E357" s="606"/>
      <c r="F357" s="606"/>
      <c r="G357" s="606"/>
      <c r="H357" s="607"/>
      <c r="I357" s="606"/>
      <c r="J357" s="606"/>
      <c r="K357" s="606"/>
      <c r="L357" s="606"/>
      <c r="M357" s="606"/>
      <c r="N357" s="608"/>
      <c r="O357" s="608"/>
      <c r="P357" s="608"/>
      <c r="Q357" s="608"/>
    </row>
    <row r="358" spans="2:17" ht="27.75" customHeight="1" x14ac:dyDescent="0.25">
      <c r="B358" s="606"/>
      <c r="C358" s="606"/>
      <c r="D358" s="606"/>
      <c r="E358" s="606"/>
      <c r="F358" s="606"/>
      <c r="G358" s="606"/>
      <c r="H358" s="607"/>
      <c r="I358" s="606"/>
      <c r="J358" s="606"/>
      <c r="K358" s="606"/>
      <c r="L358" s="606"/>
      <c r="M358" s="606"/>
      <c r="N358" s="608"/>
      <c r="O358" s="608"/>
      <c r="P358" s="608"/>
      <c r="Q358" s="608"/>
    </row>
    <row r="359" spans="2:17" ht="27.75" customHeight="1" x14ac:dyDescent="0.25">
      <c r="B359" s="606"/>
      <c r="C359" s="606"/>
      <c r="D359" s="606"/>
      <c r="E359" s="606"/>
      <c r="F359" s="606"/>
      <c r="G359" s="606"/>
      <c r="H359" s="607"/>
      <c r="I359" s="606"/>
      <c r="J359" s="606"/>
      <c r="K359" s="606"/>
      <c r="L359" s="606"/>
      <c r="M359" s="606"/>
      <c r="N359" s="608"/>
      <c r="O359" s="608"/>
      <c r="P359" s="608"/>
      <c r="Q359" s="608"/>
    </row>
    <row r="360" spans="2:17" ht="27.75" customHeight="1" x14ac:dyDescent="0.25">
      <c r="B360" s="606"/>
      <c r="C360" s="606"/>
      <c r="D360" s="606"/>
      <c r="E360" s="606"/>
      <c r="F360" s="606"/>
      <c r="G360" s="606"/>
      <c r="H360" s="607"/>
      <c r="I360" s="606"/>
      <c r="J360" s="606"/>
      <c r="K360" s="606"/>
      <c r="L360" s="606"/>
      <c r="M360" s="606"/>
      <c r="N360" s="608"/>
      <c r="O360" s="608"/>
      <c r="P360" s="608"/>
      <c r="Q360" s="608"/>
    </row>
    <row r="361" spans="2:17" ht="27.75" customHeight="1" x14ac:dyDescent="0.25">
      <c r="B361" s="606"/>
      <c r="C361" s="606"/>
      <c r="D361" s="606"/>
      <c r="E361" s="606"/>
      <c r="F361" s="606"/>
      <c r="G361" s="606"/>
      <c r="H361" s="607"/>
      <c r="I361" s="606"/>
      <c r="J361" s="606"/>
      <c r="K361" s="606"/>
      <c r="L361" s="606"/>
      <c r="M361" s="606"/>
      <c r="N361" s="608"/>
      <c r="O361" s="608"/>
      <c r="P361" s="608"/>
      <c r="Q361" s="608"/>
    </row>
    <row r="362" spans="2:17" ht="27.75" customHeight="1" x14ac:dyDescent="0.25">
      <c r="B362" s="606"/>
      <c r="C362" s="606"/>
      <c r="D362" s="606"/>
      <c r="E362" s="606"/>
      <c r="F362" s="606"/>
      <c r="G362" s="606"/>
      <c r="H362" s="607"/>
      <c r="I362" s="606"/>
      <c r="J362" s="606"/>
      <c r="K362" s="606"/>
      <c r="L362" s="606"/>
      <c r="M362" s="606"/>
      <c r="N362" s="608"/>
      <c r="O362" s="608"/>
      <c r="P362" s="608"/>
      <c r="Q362" s="608"/>
    </row>
    <row r="363" spans="2:17" ht="27.75" customHeight="1" x14ac:dyDescent="0.25">
      <c r="B363" s="606"/>
      <c r="C363" s="606"/>
      <c r="D363" s="606"/>
      <c r="E363" s="606"/>
      <c r="F363" s="606"/>
      <c r="G363" s="606"/>
      <c r="H363" s="607"/>
      <c r="I363" s="606"/>
      <c r="J363" s="606"/>
      <c r="K363" s="606"/>
      <c r="L363" s="606"/>
      <c r="M363" s="606"/>
      <c r="N363" s="608"/>
      <c r="O363" s="608"/>
      <c r="P363" s="608"/>
      <c r="Q363" s="608"/>
    </row>
    <row r="364" spans="2:17" ht="27.75" customHeight="1" x14ac:dyDescent="0.25">
      <c r="B364" s="606"/>
      <c r="C364" s="606"/>
      <c r="D364" s="606"/>
      <c r="E364" s="606"/>
      <c r="F364" s="606"/>
      <c r="G364" s="606"/>
      <c r="H364" s="607"/>
      <c r="I364" s="606"/>
      <c r="J364" s="606"/>
      <c r="K364" s="606"/>
      <c r="L364" s="606"/>
      <c r="M364" s="606"/>
      <c r="N364" s="608"/>
      <c r="O364" s="608"/>
      <c r="P364" s="608"/>
      <c r="Q364" s="608"/>
    </row>
    <row r="365" spans="2:17" ht="27.75" customHeight="1" x14ac:dyDescent="0.25">
      <c r="B365" s="606"/>
      <c r="C365" s="606"/>
      <c r="D365" s="606"/>
      <c r="E365" s="606"/>
      <c r="F365" s="606"/>
      <c r="G365" s="606"/>
      <c r="H365" s="607"/>
      <c r="I365" s="606"/>
      <c r="J365" s="606"/>
      <c r="K365" s="606"/>
      <c r="L365" s="606"/>
      <c r="M365" s="606"/>
      <c r="N365" s="608"/>
      <c r="O365" s="608"/>
      <c r="P365" s="608"/>
      <c r="Q365" s="608"/>
    </row>
    <row r="366" spans="2:17" ht="27.75" customHeight="1" x14ac:dyDescent="0.25">
      <c r="B366" s="606"/>
      <c r="C366" s="606"/>
      <c r="D366" s="606"/>
      <c r="E366" s="606"/>
      <c r="F366" s="606"/>
      <c r="G366" s="606"/>
      <c r="H366" s="607"/>
      <c r="I366" s="606"/>
      <c r="J366" s="606"/>
      <c r="K366" s="606"/>
      <c r="L366" s="606"/>
      <c r="M366" s="606"/>
      <c r="N366" s="608"/>
      <c r="O366" s="608"/>
      <c r="P366" s="608"/>
      <c r="Q366" s="608"/>
    </row>
    <row r="367" spans="2:17" ht="27.75" customHeight="1" x14ac:dyDescent="0.25">
      <c r="B367" s="606"/>
      <c r="C367" s="606"/>
      <c r="D367" s="606"/>
      <c r="E367" s="606"/>
      <c r="F367" s="606"/>
      <c r="G367" s="606"/>
      <c r="H367" s="607"/>
      <c r="I367" s="606"/>
      <c r="J367" s="606"/>
      <c r="K367" s="606"/>
      <c r="L367" s="606"/>
      <c r="M367" s="606"/>
      <c r="N367" s="608"/>
      <c r="O367" s="608"/>
      <c r="P367" s="608"/>
      <c r="Q367" s="608"/>
    </row>
    <row r="368" spans="2:17" ht="27.75" customHeight="1" x14ac:dyDescent="0.25">
      <c r="B368" s="606"/>
      <c r="C368" s="606"/>
      <c r="D368" s="606"/>
      <c r="E368" s="606"/>
      <c r="F368" s="606"/>
      <c r="G368" s="606"/>
      <c r="H368" s="607"/>
      <c r="I368" s="606"/>
      <c r="J368" s="606"/>
      <c r="K368" s="606"/>
      <c r="L368" s="606"/>
      <c r="M368" s="606"/>
      <c r="N368" s="608"/>
      <c r="O368" s="608"/>
      <c r="P368" s="608"/>
      <c r="Q368" s="608"/>
    </row>
    <row r="369" spans="2:17" ht="27.75" customHeight="1" x14ac:dyDescent="0.25">
      <c r="B369" s="606"/>
      <c r="C369" s="606"/>
      <c r="D369" s="606"/>
      <c r="E369" s="606"/>
      <c r="F369" s="606"/>
      <c r="G369" s="606"/>
      <c r="H369" s="607"/>
      <c r="I369" s="606"/>
      <c r="J369" s="606"/>
      <c r="K369" s="606"/>
      <c r="L369" s="606"/>
      <c r="M369" s="606"/>
      <c r="N369" s="608"/>
      <c r="O369" s="608"/>
      <c r="P369" s="608"/>
      <c r="Q369" s="608"/>
    </row>
    <row r="370" spans="2:17" ht="27.75" customHeight="1" x14ac:dyDescent="0.25">
      <c r="B370" s="606"/>
      <c r="C370" s="606"/>
      <c r="D370" s="606"/>
      <c r="E370" s="606"/>
      <c r="F370" s="606"/>
      <c r="G370" s="606"/>
      <c r="H370" s="607"/>
      <c r="I370" s="606"/>
      <c r="J370" s="606"/>
      <c r="K370" s="606"/>
      <c r="L370" s="606"/>
      <c r="M370" s="606"/>
      <c r="N370" s="608"/>
      <c r="O370" s="608"/>
      <c r="P370" s="608"/>
      <c r="Q370" s="608"/>
    </row>
    <row r="371" spans="2:17" ht="27.75" customHeight="1" x14ac:dyDescent="0.25">
      <c r="B371" s="606"/>
      <c r="C371" s="606"/>
      <c r="D371" s="606"/>
      <c r="E371" s="606"/>
      <c r="F371" s="606"/>
      <c r="G371" s="606"/>
      <c r="H371" s="607"/>
      <c r="I371" s="606"/>
      <c r="J371" s="606"/>
      <c r="K371" s="606"/>
      <c r="L371" s="606"/>
      <c r="M371" s="606"/>
      <c r="N371" s="608"/>
      <c r="O371" s="608"/>
      <c r="P371" s="608"/>
      <c r="Q371" s="608"/>
    </row>
    <row r="372" spans="2:17" ht="27.75" customHeight="1" x14ac:dyDescent="0.25">
      <c r="B372" s="606"/>
      <c r="C372" s="606"/>
      <c r="D372" s="606"/>
      <c r="E372" s="606"/>
      <c r="F372" s="606"/>
      <c r="G372" s="606"/>
      <c r="H372" s="607"/>
      <c r="I372" s="606"/>
      <c r="J372" s="606"/>
      <c r="K372" s="606"/>
      <c r="L372" s="606"/>
      <c r="M372" s="606"/>
      <c r="N372" s="608"/>
      <c r="O372" s="608"/>
      <c r="P372" s="608"/>
      <c r="Q372" s="608"/>
    </row>
    <row r="373" spans="2:17" ht="27.75" customHeight="1" x14ac:dyDescent="0.25">
      <c r="B373" s="606"/>
      <c r="C373" s="606"/>
      <c r="D373" s="606"/>
      <c r="E373" s="606"/>
      <c r="F373" s="606"/>
      <c r="G373" s="606"/>
      <c r="H373" s="607"/>
      <c r="I373" s="606"/>
      <c r="J373" s="606"/>
      <c r="K373" s="606"/>
      <c r="L373" s="606"/>
      <c r="M373" s="606"/>
      <c r="N373" s="608"/>
      <c r="O373" s="608"/>
      <c r="P373" s="608"/>
      <c r="Q373" s="608"/>
    </row>
    <row r="374" spans="2:17" ht="27.75" customHeight="1" x14ac:dyDescent="0.25">
      <c r="B374" s="606"/>
      <c r="C374" s="606"/>
      <c r="D374" s="606"/>
      <c r="E374" s="606"/>
      <c r="F374" s="606"/>
      <c r="G374" s="606"/>
      <c r="H374" s="607"/>
      <c r="I374" s="606"/>
      <c r="J374" s="606"/>
      <c r="K374" s="606"/>
      <c r="L374" s="606"/>
      <c r="M374" s="606"/>
      <c r="N374" s="608"/>
      <c r="O374" s="608"/>
      <c r="P374" s="608"/>
      <c r="Q374" s="608"/>
    </row>
    <row r="375" spans="2:17" ht="27.75" customHeight="1" x14ac:dyDescent="0.25">
      <c r="B375" s="606"/>
      <c r="C375" s="606"/>
      <c r="D375" s="606"/>
      <c r="E375" s="606"/>
      <c r="F375" s="606"/>
      <c r="G375" s="606"/>
      <c r="H375" s="607"/>
      <c r="I375" s="606"/>
      <c r="J375" s="606"/>
      <c r="K375" s="606"/>
      <c r="L375" s="606"/>
      <c r="M375" s="606"/>
      <c r="N375" s="608"/>
      <c r="O375" s="608"/>
      <c r="P375" s="608"/>
      <c r="Q375" s="608"/>
    </row>
    <row r="376" spans="2:17" ht="27.75" customHeight="1" x14ac:dyDescent="0.25">
      <c r="B376" s="606"/>
      <c r="C376" s="606"/>
      <c r="D376" s="606"/>
      <c r="E376" s="606"/>
      <c r="F376" s="606"/>
      <c r="G376" s="606"/>
      <c r="H376" s="607"/>
      <c r="I376" s="606"/>
      <c r="J376" s="606"/>
      <c r="K376" s="606"/>
      <c r="L376" s="606"/>
      <c r="M376" s="606"/>
      <c r="N376" s="608"/>
      <c r="O376" s="608"/>
      <c r="P376" s="608"/>
      <c r="Q376" s="608"/>
    </row>
    <row r="377" spans="2:17" ht="27.75" customHeight="1" x14ac:dyDescent="0.25">
      <c r="B377" s="606"/>
      <c r="C377" s="606"/>
      <c r="D377" s="606"/>
      <c r="E377" s="606"/>
      <c r="F377" s="606"/>
      <c r="G377" s="606"/>
      <c r="H377" s="607"/>
      <c r="I377" s="606"/>
      <c r="J377" s="606"/>
      <c r="K377" s="606"/>
      <c r="L377" s="606"/>
      <c r="M377" s="606"/>
      <c r="N377" s="608"/>
      <c r="O377" s="608"/>
      <c r="P377" s="608"/>
      <c r="Q377" s="608"/>
    </row>
    <row r="378" spans="2:17" ht="27.75" customHeight="1" x14ac:dyDescent="0.25">
      <c r="B378" s="606"/>
      <c r="C378" s="606"/>
      <c r="D378" s="606"/>
      <c r="E378" s="606"/>
      <c r="F378" s="606"/>
      <c r="G378" s="606"/>
      <c r="H378" s="607"/>
      <c r="I378" s="606"/>
      <c r="J378" s="606"/>
      <c r="K378" s="606"/>
      <c r="L378" s="606"/>
      <c r="M378" s="606"/>
      <c r="N378" s="608"/>
      <c r="O378" s="608"/>
      <c r="P378" s="608"/>
      <c r="Q378" s="608"/>
    </row>
    <row r="379" spans="2:17" ht="27.75" customHeight="1" x14ac:dyDescent="0.25">
      <c r="B379" s="606"/>
      <c r="C379" s="606"/>
      <c r="D379" s="606"/>
      <c r="E379" s="606"/>
      <c r="F379" s="606"/>
      <c r="G379" s="606"/>
      <c r="H379" s="607"/>
      <c r="I379" s="606"/>
      <c r="J379" s="606"/>
      <c r="K379" s="606"/>
      <c r="L379" s="606"/>
      <c r="M379" s="606"/>
      <c r="N379" s="608"/>
      <c r="O379" s="608"/>
      <c r="P379" s="608"/>
      <c r="Q379" s="608"/>
    </row>
    <row r="380" spans="2:17" ht="27.75" customHeight="1" x14ac:dyDescent="0.25">
      <c r="B380" s="606"/>
      <c r="C380" s="606"/>
      <c r="D380" s="606"/>
      <c r="E380" s="606"/>
      <c r="F380" s="606"/>
      <c r="G380" s="606"/>
      <c r="H380" s="607"/>
      <c r="I380" s="606"/>
      <c r="J380" s="606"/>
      <c r="K380" s="606"/>
      <c r="L380" s="606"/>
      <c r="M380" s="606"/>
      <c r="N380" s="608"/>
      <c r="O380" s="608"/>
      <c r="P380" s="608"/>
      <c r="Q380" s="608"/>
    </row>
    <row r="381" spans="2:17" ht="27.75" customHeight="1" x14ac:dyDescent="0.25">
      <c r="B381" s="606"/>
      <c r="C381" s="606"/>
      <c r="D381" s="606"/>
      <c r="E381" s="606"/>
      <c r="F381" s="606"/>
      <c r="G381" s="606"/>
      <c r="H381" s="607"/>
      <c r="I381" s="606"/>
      <c r="J381" s="606"/>
      <c r="K381" s="606"/>
      <c r="L381" s="606"/>
      <c r="M381" s="606"/>
      <c r="N381" s="608"/>
      <c r="O381" s="608"/>
      <c r="P381" s="608"/>
      <c r="Q381" s="608"/>
    </row>
    <row r="382" spans="2:17" ht="27.75" customHeight="1" x14ac:dyDescent="0.25">
      <c r="B382" s="606"/>
      <c r="C382" s="606"/>
      <c r="D382" s="606"/>
      <c r="E382" s="606"/>
      <c r="F382" s="606"/>
      <c r="G382" s="606"/>
      <c r="H382" s="607"/>
      <c r="I382" s="606"/>
      <c r="J382" s="606"/>
      <c r="K382" s="606"/>
      <c r="L382" s="606"/>
      <c r="M382" s="606"/>
      <c r="N382" s="608"/>
      <c r="O382" s="608"/>
      <c r="P382" s="608"/>
      <c r="Q382" s="608"/>
    </row>
    <row r="383" spans="2:17" ht="27.75" customHeight="1" x14ac:dyDescent="0.25">
      <c r="B383" s="606"/>
      <c r="C383" s="606"/>
      <c r="D383" s="606"/>
      <c r="E383" s="606"/>
      <c r="F383" s="606"/>
      <c r="G383" s="606"/>
      <c r="H383" s="607"/>
      <c r="I383" s="606"/>
      <c r="J383" s="606"/>
      <c r="K383" s="606"/>
      <c r="L383" s="606"/>
      <c r="M383" s="606"/>
      <c r="N383" s="608"/>
      <c r="O383" s="608"/>
      <c r="P383" s="608"/>
      <c r="Q383" s="608"/>
    </row>
    <row r="384" spans="2:17" ht="27.75" customHeight="1" x14ac:dyDescent="0.25">
      <c r="B384" s="606"/>
      <c r="C384" s="606"/>
      <c r="D384" s="606"/>
      <c r="E384" s="606"/>
      <c r="F384" s="606"/>
      <c r="G384" s="606"/>
      <c r="H384" s="607"/>
      <c r="I384" s="606"/>
      <c r="J384" s="606"/>
      <c r="K384" s="606"/>
      <c r="L384" s="606"/>
      <c r="M384" s="606"/>
      <c r="N384" s="608"/>
      <c r="O384" s="608"/>
      <c r="P384" s="608"/>
      <c r="Q384" s="608"/>
    </row>
    <row r="385" spans="2:17" ht="27.75" customHeight="1" x14ac:dyDescent="0.25">
      <c r="B385" s="606"/>
      <c r="C385" s="606"/>
      <c r="D385" s="606"/>
      <c r="E385" s="606"/>
      <c r="F385" s="606"/>
      <c r="G385" s="606"/>
      <c r="H385" s="607"/>
      <c r="I385" s="606"/>
      <c r="J385" s="606"/>
      <c r="K385" s="606"/>
      <c r="L385" s="606"/>
      <c r="M385" s="606"/>
      <c r="N385" s="608"/>
      <c r="O385" s="608"/>
      <c r="P385" s="608"/>
      <c r="Q385" s="608"/>
    </row>
    <row r="386" spans="2:17" ht="27.75" customHeight="1" x14ac:dyDescent="0.25">
      <c r="B386" s="606"/>
      <c r="C386" s="606"/>
      <c r="D386" s="606"/>
      <c r="E386" s="606"/>
      <c r="F386" s="606"/>
      <c r="G386" s="606"/>
      <c r="H386" s="607"/>
      <c r="I386" s="606"/>
      <c r="J386" s="606"/>
      <c r="K386" s="606"/>
      <c r="L386" s="606"/>
      <c r="M386" s="606"/>
      <c r="N386" s="608"/>
      <c r="O386" s="608"/>
      <c r="P386" s="608"/>
      <c r="Q386" s="608"/>
    </row>
    <row r="387" spans="2:17" ht="27.75" customHeight="1" x14ac:dyDescent="0.25">
      <c r="B387" s="606"/>
      <c r="C387" s="606"/>
      <c r="D387" s="606"/>
      <c r="E387" s="606"/>
      <c r="F387" s="606"/>
      <c r="G387" s="606"/>
      <c r="H387" s="607"/>
      <c r="I387" s="606"/>
      <c r="J387" s="606"/>
      <c r="K387" s="606"/>
      <c r="L387" s="606"/>
      <c r="M387" s="606"/>
      <c r="N387" s="608"/>
      <c r="O387" s="608"/>
      <c r="P387" s="608"/>
      <c r="Q387" s="608"/>
    </row>
    <row r="388" spans="2:17" ht="27.75" customHeight="1" x14ac:dyDescent="0.25">
      <c r="B388" s="606"/>
      <c r="C388" s="606"/>
      <c r="D388" s="606"/>
      <c r="E388" s="606"/>
      <c r="F388" s="606"/>
      <c r="G388" s="606"/>
      <c r="H388" s="607"/>
      <c r="I388" s="606"/>
      <c r="J388" s="606"/>
      <c r="K388" s="606"/>
      <c r="L388" s="606"/>
      <c r="M388" s="606"/>
      <c r="N388" s="608"/>
      <c r="O388" s="608"/>
      <c r="P388" s="608"/>
      <c r="Q388" s="608"/>
    </row>
    <row r="389" spans="2:17" ht="27.75" customHeight="1" x14ac:dyDescent="0.25">
      <c r="B389" s="606"/>
      <c r="C389" s="606"/>
      <c r="D389" s="606"/>
      <c r="E389" s="606"/>
      <c r="F389" s="606"/>
      <c r="G389" s="606"/>
      <c r="H389" s="607"/>
      <c r="I389" s="606"/>
      <c r="J389" s="606"/>
      <c r="K389" s="606"/>
      <c r="L389" s="606"/>
      <c r="M389" s="606"/>
      <c r="N389" s="608"/>
      <c r="O389" s="608"/>
      <c r="P389" s="608"/>
      <c r="Q389" s="608"/>
    </row>
    <row r="390" spans="2:17" ht="27.75" customHeight="1" x14ac:dyDescent="0.25">
      <c r="B390" s="606"/>
      <c r="C390" s="606"/>
      <c r="D390" s="606"/>
      <c r="E390" s="606"/>
      <c r="F390" s="606"/>
      <c r="G390" s="606"/>
      <c r="H390" s="607"/>
      <c r="I390" s="606"/>
      <c r="J390" s="606"/>
      <c r="K390" s="606"/>
      <c r="L390" s="606"/>
      <c r="M390" s="606"/>
      <c r="N390" s="608"/>
      <c r="O390" s="608"/>
      <c r="P390" s="608"/>
      <c r="Q390" s="608"/>
    </row>
    <row r="391" spans="2:17" ht="27.75" customHeight="1" x14ac:dyDescent="0.25">
      <c r="B391" s="606"/>
      <c r="C391" s="606"/>
      <c r="D391" s="606"/>
      <c r="E391" s="606"/>
      <c r="F391" s="606"/>
      <c r="G391" s="606"/>
      <c r="H391" s="607"/>
      <c r="I391" s="606"/>
      <c r="J391" s="606"/>
      <c r="K391" s="606"/>
      <c r="L391" s="606"/>
      <c r="M391" s="606"/>
      <c r="N391" s="608"/>
      <c r="O391" s="608"/>
      <c r="P391" s="608"/>
      <c r="Q391" s="608"/>
    </row>
    <row r="392" spans="2:17" ht="27.75" customHeight="1" x14ac:dyDescent="0.25">
      <c r="B392" s="606"/>
      <c r="C392" s="606"/>
      <c r="D392" s="606"/>
      <c r="E392" s="606"/>
      <c r="F392" s="606"/>
      <c r="G392" s="606"/>
      <c r="H392" s="607"/>
      <c r="I392" s="606"/>
      <c r="J392" s="606"/>
      <c r="K392" s="606"/>
      <c r="L392" s="606"/>
      <c r="M392" s="606"/>
      <c r="N392" s="608"/>
      <c r="O392" s="608"/>
      <c r="P392" s="608"/>
      <c r="Q392" s="608"/>
    </row>
    <row r="393" spans="2:17" ht="27.75" customHeight="1" x14ac:dyDescent="0.25">
      <c r="B393" s="606"/>
      <c r="C393" s="606"/>
      <c r="D393" s="606"/>
      <c r="E393" s="606"/>
      <c r="F393" s="606"/>
      <c r="G393" s="606"/>
      <c r="H393" s="607"/>
      <c r="I393" s="606"/>
      <c r="J393" s="606"/>
      <c r="K393" s="606"/>
      <c r="L393" s="606"/>
      <c r="M393" s="606"/>
      <c r="N393" s="608"/>
      <c r="O393" s="608"/>
      <c r="P393" s="608"/>
      <c r="Q393" s="608"/>
    </row>
    <row r="394" spans="2:17" ht="27.75" customHeight="1" x14ac:dyDescent="0.25">
      <c r="B394" s="606"/>
      <c r="C394" s="606"/>
      <c r="D394" s="606"/>
      <c r="E394" s="606"/>
      <c r="F394" s="606"/>
      <c r="G394" s="606"/>
      <c r="H394" s="607"/>
      <c r="I394" s="606"/>
      <c r="J394" s="606"/>
      <c r="K394" s="606"/>
      <c r="L394" s="606"/>
      <c r="M394" s="606"/>
      <c r="N394" s="608"/>
      <c r="O394" s="608"/>
      <c r="P394" s="608"/>
      <c r="Q394" s="608"/>
    </row>
    <row r="395" spans="2:17" ht="27.75" customHeight="1" x14ac:dyDescent="0.25">
      <c r="B395" s="606"/>
      <c r="C395" s="606"/>
      <c r="D395" s="606"/>
      <c r="E395" s="606"/>
      <c r="F395" s="606"/>
      <c r="G395" s="606"/>
      <c r="H395" s="607"/>
      <c r="I395" s="606"/>
      <c r="J395" s="606"/>
      <c r="K395" s="606"/>
      <c r="L395" s="606"/>
      <c r="M395" s="606"/>
      <c r="N395" s="608"/>
      <c r="O395" s="608"/>
      <c r="P395" s="608"/>
      <c r="Q395" s="608"/>
    </row>
    <row r="396" spans="2:17" ht="27.75" customHeight="1" x14ac:dyDescent="0.25">
      <c r="B396" s="606"/>
      <c r="C396" s="606"/>
      <c r="D396" s="606"/>
      <c r="E396" s="606"/>
      <c r="F396" s="606"/>
      <c r="G396" s="606"/>
      <c r="H396" s="607"/>
      <c r="I396" s="606"/>
      <c r="J396" s="606"/>
      <c r="K396" s="606"/>
      <c r="L396" s="606"/>
      <c r="M396" s="606"/>
      <c r="N396" s="608"/>
      <c r="O396" s="608"/>
      <c r="P396" s="608"/>
      <c r="Q396" s="608"/>
    </row>
    <row r="397" spans="2:17" ht="27.75" customHeight="1" x14ac:dyDescent="0.25">
      <c r="B397" s="606"/>
      <c r="C397" s="606"/>
      <c r="D397" s="606"/>
      <c r="E397" s="606"/>
      <c r="F397" s="606"/>
      <c r="G397" s="606"/>
      <c r="H397" s="607"/>
      <c r="I397" s="606"/>
      <c r="J397" s="606"/>
      <c r="K397" s="606"/>
      <c r="L397" s="606"/>
      <c r="M397" s="606"/>
      <c r="N397" s="608"/>
      <c r="O397" s="608"/>
      <c r="P397" s="608"/>
      <c r="Q397" s="608"/>
    </row>
    <row r="398" spans="2:17" ht="27.75" customHeight="1" x14ac:dyDescent="0.25">
      <c r="B398" s="606"/>
      <c r="C398" s="606"/>
      <c r="D398" s="606"/>
      <c r="E398" s="606"/>
      <c r="F398" s="606"/>
      <c r="G398" s="606"/>
      <c r="H398" s="607"/>
      <c r="I398" s="606"/>
      <c r="J398" s="606"/>
      <c r="K398" s="606"/>
      <c r="L398" s="606"/>
      <c r="M398" s="606"/>
      <c r="N398" s="608"/>
      <c r="O398" s="608"/>
      <c r="P398" s="608"/>
      <c r="Q398" s="608"/>
    </row>
    <row r="399" spans="2:17" ht="27.75" customHeight="1" x14ac:dyDescent="0.25">
      <c r="B399" s="606"/>
      <c r="C399" s="606"/>
      <c r="D399" s="606"/>
      <c r="E399" s="606"/>
      <c r="F399" s="606"/>
      <c r="G399" s="606"/>
      <c r="H399" s="607"/>
      <c r="I399" s="606"/>
      <c r="J399" s="606"/>
      <c r="K399" s="606"/>
      <c r="L399" s="606"/>
      <c r="M399" s="606"/>
      <c r="N399" s="608"/>
      <c r="O399" s="608"/>
      <c r="P399" s="608"/>
      <c r="Q399" s="608"/>
    </row>
    <row r="400" spans="2:17" ht="27.75" customHeight="1" x14ac:dyDescent="0.25">
      <c r="B400" s="606"/>
      <c r="C400" s="606"/>
      <c r="D400" s="606"/>
      <c r="E400" s="606"/>
      <c r="F400" s="606"/>
      <c r="G400" s="606"/>
      <c r="H400" s="607"/>
      <c r="I400" s="606"/>
      <c r="J400" s="606"/>
      <c r="K400" s="606"/>
      <c r="L400" s="606"/>
      <c r="M400" s="606"/>
      <c r="N400" s="608"/>
      <c r="O400" s="608"/>
      <c r="P400" s="608"/>
      <c r="Q400" s="608"/>
    </row>
    <row r="401" spans="2:17" ht="27.75" customHeight="1" x14ac:dyDescent="0.25">
      <c r="B401" s="606"/>
      <c r="C401" s="606"/>
      <c r="D401" s="606"/>
      <c r="E401" s="606"/>
      <c r="F401" s="606"/>
      <c r="G401" s="606"/>
      <c r="H401" s="607"/>
      <c r="I401" s="606"/>
      <c r="J401" s="606"/>
      <c r="K401" s="606"/>
      <c r="L401" s="606"/>
      <c r="M401" s="606"/>
      <c r="N401" s="608"/>
      <c r="O401" s="608"/>
      <c r="P401" s="608"/>
      <c r="Q401" s="608"/>
    </row>
    <row r="402" spans="2:17" ht="27.75" customHeight="1" x14ac:dyDescent="0.25">
      <c r="B402" s="606"/>
      <c r="C402" s="606"/>
      <c r="D402" s="606"/>
      <c r="E402" s="606"/>
      <c r="F402" s="606"/>
      <c r="G402" s="606"/>
      <c r="H402" s="607"/>
      <c r="I402" s="606"/>
      <c r="J402" s="606"/>
      <c r="K402" s="606"/>
      <c r="L402" s="606"/>
      <c r="M402" s="606"/>
      <c r="N402" s="608"/>
      <c r="O402" s="608"/>
      <c r="P402" s="608"/>
      <c r="Q402" s="608"/>
    </row>
    <row r="403" spans="2:17" ht="27.75" customHeight="1" x14ac:dyDescent="0.25">
      <c r="B403" s="606"/>
      <c r="C403" s="606"/>
      <c r="D403" s="606"/>
      <c r="E403" s="606"/>
      <c r="F403" s="606"/>
      <c r="G403" s="606"/>
      <c r="H403" s="607"/>
      <c r="I403" s="606"/>
      <c r="J403" s="606"/>
      <c r="K403" s="606"/>
      <c r="L403" s="606"/>
      <c r="M403" s="606"/>
      <c r="N403" s="608"/>
      <c r="O403" s="608"/>
      <c r="P403" s="608"/>
      <c r="Q403" s="608"/>
    </row>
    <row r="404" spans="2:17" ht="27.75" customHeight="1" x14ac:dyDescent="0.25">
      <c r="B404" s="606"/>
      <c r="C404" s="606"/>
      <c r="D404" s="606"/>
      <c r="E404" s="606"/>
      <c r="F404" s="606"/>
      <c r="G404" s="606"/>
      <c r="H404" s="607"/>
      <c r="I404" s="606"/>
      <c r="J404" s="606"/>
      <c r="K404" s="606"/>
      <c r="L404" s="606"/>
      <c r="M404" s="606"/>
      <c r="N404" s="608"/>
      <c r="O404" s="608"/>
      <c r="P404" s="608"/>
      <c r="Q404" s="608"/>
    </row>
    <row r="405" spans="2:17" ht="27.75" customHeight="1" x14ac:dyDescent="0.25">
      <c r="B405" s="606"/>
      <c r="C405" s="606"/>
      <c r="D405" s="606"/>
      <c r="E405" s="606"/>
      <c r="F405" s="606"/>
      <c r="G405" s="606"/>
      <c r="H405" s="607"/>
      <c r="I405" s="606"/>
      <c r="J405" s="606"/>
      <c r="K405" s="606"/>
      <c r="L405" s="606"/>
      <c r="M405" s="606"/>
      <c r="N405" s="608"/>
      <c r="O405" s="608"/>
      <c r="P405" s="608"/>
      <c r="Q405" s="608"/>
    </row>
    <row r="406" spans="2:17" ht="27.75" customHeight="1" x14ac:dyDescent="0.25">
      <c r="B406" s="606"/>
      <c r="C406" s="606"/>
      <c r="D406" s="606"/>
      <c r="E406" s="606"/>
      <c r="F406" s="606"/>
      <c r="G406" s="606"/>
      <c r="H406" s="607"/>
      <c r="I406" s="606"/>
      <c r="J406" s="606"/>
      <c r="K406" s="606"/>
      <c r="L406" s="606"/>
      <c r="M406" s="606"/>
      <c r="N406" s="608"/>
      <c r="O406" s="608"/>
      <c r="P406" s="608"/>
      <c r="Q406" s="608"/>
    </row>
    <row r="407" spans="2:17" ht="27.75" customHeight="1" x14ac:dyDescent="0.25">
      <c r="B407" s="606"/>
      <c r="C407" s="606"/>
      <c r="D407" s="606"/>
      <c r="E407" s="606"/>
      <c r="F407" s="606"/>
      <c r="G407" s="606"/>
      <c r="H407" s="607"/>
      <c r="I407" s="606"/>
      <c r="J407" s="606"/>
      <c r="K407" s="606"/>
      <c r="L407" s="606"/>
      <c r="M407" s="606"/>
      <c r="N407" s="608"/>
      <c r="O407" s="608"/>
      <c r="P407" s="608"/>
      <c r="Q407" s="608"/>
    </row>
    <row r="408" spans="2:17" ht="27.75" customHeight="1" x14ac:dyDescent="0.25">
      <c r="B408" s="606"/>
      <c r="C408" s="606"/>
      <c r="D408" s="606"/>
      <c r="E408" s="606"/>
      <c r="F408" s="606"/>
      <c r="G408" s="606"/>
      <c r="H408" s="607"/>
      <c r="I408" s="606"/>
      <c r="J408" s="606"/>
      <c r="K408" s="606"/>
      <c r="L408" s="606"/>
      <c r="M408" s="606"/>
      <c r="N408" s="608"/>
      <c r="O408" s="608"/>
      <c r="P408" s="608"/>
      <c r="Q408" s="608"/>
    </row>
    <row r="409" spans="2:17" ht="27.75" customHeight="1" x14ac:dyDescent="0.25">
      <c r="B409" s="606"/>
      <c r="C409" s="606"/>
      <c r="D409" s="606"/>
      <c r="E409" s="606"/>
      <c r="F409" s="606"/>
      <c r="G409" s="606"/>
      <c r="H409" s="607"/>
      <c r="I409" s="606"/>
      <c r="J409" s="606"/>
      <c r="K409" s="606"/>
      <c r="L409" s="606"/>
      <c r="M409" s="606"/>
      <c r="N409" s="608"/>
      <c r="O409" s="608"/>
      <c r="P409" s="608"/>
      <c r="Q409" s="608"/>
    </row>
    <row r="410" spans="2:17" ht="27.75" customHeight="1" x14ac:dyDescent="0.25">
      <c r="B410" s="606"/>
      <c r="C410" s="606"/>
      <c r="D410" s="606"/>
      <c r="E410" s="606"/>
      <c r="F410" s="606"/>
      <c r="G410" s="606"/>
      <c r="H410" s="607"/>
      <c r="I410" s="606"/>
      <c r="J410" s="606"/>
      <c r="K410" s="606"/>
      <c r="L410" s="606"/>
      <c r="M410" s="606"/>
      <c r="N410" s="608"/>
      <c r="O410" s="608"/>
      <c r="P410" s="608"/>
      <c r="Q410" s="608"/>
    </row>
    <row r="411" spans="2:17" ht="27.75" customHeight="1" x14ac:dyDescent="0.25">
      <c r="B411" s="606"/>
      <c r="C411" s="606"/>
      <c r="D411" s="606"/>
      <c r="E411" s="606"/>
      <c r="F411" s="606"/>
      <c r="G411" s="606"/>
      <c r="H411" s="607"/>
      <c r="I411" s="606"/>
      <c r="J411" s="606"/>
      <c r="K411" s="606"/>
      <c r="L411" s="606"/>
      <c r="M411" s="606"/>
      <c r="N411" s="608"/>
      <c r="O411" s="608"/>
      <c r="P411" s="608"/>
      <c r="Q411" s="608"/>
    </row>
    <row r="412" spans="2:17" ht="27.75" customHeight="1" x14ac:dyDescent="0.25">
      <c r="B412" s="606"/>
      <c r="C412" s="606"/>
      <c r="D412" s="606"/>
      <c r="E412" s="606"/>
      <c r="F412" s="606"/>
      <c r="G412" s="606"/>
      <c r="H412" s="607"/>
      <c r="I412" s="606"/>
      <c r="J412" s="606"/>
      <c r="K412" s="606"/>
      <c r="L412" s="606"/>
      <c r="M412" s="606"/>
      <c r="N412" s="608"/>
      <c r="O412" s="608"/>
      <c r="P412" s="608"/>
      <c r="Q412" s="608"/>
    </row>
    <row r="413" spans="2:17" ht="27.75" customHeight="1" x14ac:dyDescent="0.25">
      <c r="B413" s="606"/>
      <c r="C413" s="606"/>
      <c r="D413" s="606"/>
      <c r="E413" s="606"/>
      <c r="F413" s="606"/>
      <c r="G413" s="606"/>
      <c r="H413" s="607"/>
      <c r="I413" s="606"/>
      <c r="J413" s="606"/>
      <c r="K413" s="606"/>
      <c r="L413" s="606"/>
      <c r="M413" s="606"/>
      <c r="N413" s="608"/>
      <c r="O413" s="608"/>
      <c r="P413" s="608"/>
      <c r="Q413" s="608"/>
    </row>
    <row r="414" spans="2:17" ht="27.75" customHeight="1" x14ac:dyDescent="0.25">
      <c r="B414" s="606"/>
      <c r="C414" s="606"/>
      <c r="D414" s="606"/>
      <c r="E414" s="606"/>
      <c r="F414" s="606"/>
      <c r="G414" s="606"/>
      <c r="H414" s="607"/>
      <c r="I414" s="606"/>
      <c r="J414" s="606"/>
      <c r="K414" s="606"/>
      <c r="L414" s="606"/>
      <c r="M414" s="606"/>
      <c r="N414" s="608"/>
      <c r="O414" s="608"/>
      <c r="P414" s="608"/>
      <c r="Q414" s="608"/>
    </row>
    <row r="415" spans="2:17" ht="27.75" customHeight="1" x14ac:dyDescent="0.25">
      <c r="B415" s="606"/>
      <c r="C415" s="606"/>
      <c r="D415" s="606"/>
      <c r="E415" s="606"/>
      <c r="F415" s="606"/>
      <c r="G415" s="606"/>
      <c r="H415" s="607"/>
      <c r="I415" s="606"/>
      <c r="J415" s="606"/>
      <c r="K415" s="606"/>
      <c r="L415" s="606"/>
      <c r="M415" s="606"/>
      <c r="N415" s="608"/>
      <c r="O415" s="608"/>
      <c r="P415" s="608"/>
      <c r="Q415" s="608"/>
    </row>
    <row r="416" spans="2:17" ht="27.75" customHeight="1" x14ac:dyDescent="0.25">
      <c r="B416" s="606"/>
      <c r="C416" s="606"/>
      <c r="D416" s="606"/>
      <c r="E416" s="606"/>
      <c r="F416" s="606"/>
      <c r="G416" s="606"/>
      <c r="H416" s="607"/>
      <c r="I416" s="606"/>
      <c r="J416" s="606"/>
      <c r="K416" s="606"/>
      <c r="L416" s="606"/>
      <c r="M416" s="606"/>
      <c r="N416" s="608"/>
      <c r="O416" s="608"/>
      <c r="P416" s="608"/>
      <c r="Q416" s="608"/>
    </row>
    <row r="417" spans="2:17" ht="27.75" customHeight="1" x14ac:dyDescent="0.25">
      <c r="B417" s="606"/>
      <c r="C417" s="606"/>
      <c r="D417" s="606"/>
      <c r="E417" s="606"/>
      <c r="F417" s="606"/>
      <c r="G417" s="606"/>
      <c r="H417" s="607"/>
      <c r="I417" s="606"/>
      <c r="J417" s="606"/>
      <c r="K417" s="606"/>
      <c r="L417" s="606"/>
      <c r="M417" s="606"/>
      <c r="N417" s="608"/>
      <c r="O417" s="608"/>
      <c r="P417" s="608"/>
      <c r="Q417" s="608"/>
    </row>
    <row r="418" spans="2:17" ht="27.75" customHeight="1" x14ac:dyDescent="0.25">
      <c r="B418" s="606"/>
      <c r="C418" s="606"/>
      <c r="D418" s="606"/>
      <c r="E418" s="606"/>
      <c r="F418" s="606"/>
      <c r="G418" s="606"/>
      <c r="H418" s="607"/>
      <c r="I418" s="606"/>
      <c r="J418" s="606"/>
      <c r="K418" s="606"/>
      <c r="L418" s="606"/>
      <c r="M418" s="606"/>
      <c r="N418" s="608"/>
      <c r="O418" s="608"/>
      <c r="P418" s="608"/>
      <c r="Q418" s="608"/>
    </row>
    <row r="419" spans="2:17" ht="27.75" customHeight="1" x14ac:dyDescent="0.25">
      <c r="B419" s="606"/>
      <c r="C419" s="606"/>
      <c r="D419" s="606"/>
      <c r="E419" s="606"/>
      <c r="F419" s="606"/>
      <c r="G419" s="606"/>
      <c r="H419" s="607"/>
      <c r="I419" s="606"/>
      <c r="J419" s="606"/>
      <c r="K419" s="606"/>
      <c r="L419" s="606"/>
      <c r="M419" s="606"/>
      <c r="N419" s="608"/>
      <c r="O419" s="608"/>
      <c r="P419" s="608"/>
      <c r="Q419" s="608"/>
    </row>
    <row r="420" spans="2:17" ht="27.75" customHeight="1" x14ac:dyDescent="0.25">
      <c r="B420" s="606"/>
      <c r="C420" s="606"/>
      <c r="D420" s="606"/>
      <c r="E420" s="606"/>
      <c r="F420" s="606"/>
      <c r="G420" s="606"/>
      <c r="H420" s="607"/>
      <c r="I420" s="606"/>
      <c r="J420" s="606"/>
      <c r="K420" s="606"/>
      <c r="L420" s="606"/>
      <c r="M420" s="606"/>
      <c r="N420" s="608"/>
      <c r="O420" s="608"/>
      <c r="P420" s="608"/>
      <c r="Q420" s="608"/>
    </row>
    <row r="421" spans="2:17" ht="27.75" customHeight="1" x14ac:dyDescent="0.25">
      <c r="B421" s="606"/>
      <c r="C421" s="606"/>
      <c r="D421" s="606"/>
      <c r="E421" s="606"/>
      <c r="F421" s="606"/>
      <c r="G421" s="606"/>
      <c r="H421" s="607"/>
      <c r="I421" s="606"/>
      <c r="J421" s="606"/>
      <c r="K421" s="606"/>
      <c r="L421" s="606"/>
      <c r="M421" s="606"/>
      <c r="N421" s="608"/>
      <c r="O421" s="608"/>
      <c r="P421" s="608"/>
      <c r="Q421" s="608"/>
    </row>
    <row r="422" spans="2:17" ht="27.75" customHeight="1" x14ac:dyDescent="0.25">
      <c r="B422" s="606"/>
      <c r="C422" s="606"/>
      <c r="D422" s="606"/>
      <c r="E422" s="606"/>
      <c r="F422" s="606"/>
      <c r="G422" s="606"/>
      <c r="H422" s="607"/>
      <c r="I422" s="606"/>
      <c r="J422" s="606"/>
      <c r="K422" s="606"/>
      <c r="L422" s="606"/>
      <c r="M422" s="606"/>
      <c r="N422" s="608"/>
      <c r="O422" s="608"/>
      <c r="P422" s="608"/>
      <c r="Q422" s="608"/>
    </row>
    <row r="423" spans="2:17" ht="27.75" customHeight="1" x14ac:dyDescent="0.25">
      <c r="B423" s="606"/>
      <c r="C423" s="606"/>
      <c r="D423" s="606"/>
      <c r="E423" s="606"/>
      <c r="F423" s="606"/>
      <c r="G423" s="606"/>
      <c r="H423" s="607"/>
      <c r="I423" s="606"/>
      <c r="J423" s="606"/>
      <c r="K423" s="606"/>
      <c r="L423" s="606"/>
      <c r="M423" s="606"/>
      <c r="N423" s="608"/>
      <c r="O423" s="608"/>
      <c r="P423" s="608"/>
      <c r="Q423" s="608"/>
    </row>
    <row r="424" spans="2:17" ht="27.75" customHeight="1" x14ac:dyDescent="0.25">
      <c r="B424" s="606"/>
      <c r="C424" s="606"/>
      <c r="D424" s="606"/>
      <c r="E424" s="606"/>
      <c r="F424" s="606"/>
      <c r="G424" s="606"/>
      <c r="H424" s="607"/>
      <c r="I424" s="606"/>
      <c r="J424" s="606"/>
      <c r="K424" s="606"/>
      <c r="L424" s="606"/>
      <c r="M424" s="606"/>
      <c r="N424" s="608"/>
      <c r="O424" s="608"/>
      <c r="P424" s="608"/>
      <c r="Q424" s="608"/>
    </row>
    <row r="425" spans="2:17" ht="27.75" customHeight="1" x14ac:dyDescent="0.25">
      <c r="B425" s="606"/>
      <c r="C425" s="606"/>
      <c r="D425" s="606"/>
      <c r="E425" s="606"/>
      <c r="F425" s="606"/>
      <c r="G425" s="606"/>
      <c r="H425" s="607"/>
      <c r="I425" s="606"/>
      <c r="J425" s="606"/>
      <c r="K425" s="606"/>
      <c r="L425" s="606"/>
      <c r="M425" s="606"/>
      <c r="N425" s="608"/>
      <c r="O425" s="608"/>
      <c r="P425" s="608"/>
      <c r="Q425" s="608"/>
    </row>
    <row r="426" spans="2:17" ht="27.75" customHeight="1" x14ac:dyDescent="0.25">
      <c r="B426" s="606"/>
      <c r="C426" s="606"/>
      <c r="D426" s="606"/>
      <c r="E426" s="606"/>
      <c r="F426" s="606"/>
      <c r="G426" s="606"/>
      <c r="H426" s="607"/>
      <c r="I426" s="606"/>
      <c r="J426" s="606"/>
      <c r="K426" s="606"/>
      <c r="L426" s="606"/>
      <c r="M426" s="606"/>
      <c r="N426" s="608"/>
      <c r="O426" s="608"/>
      <c r="P426" s="608"/>
      <c r="Q426" s="608"/>
    </row>
    <row r="427" spans="2:17" ht="27.75" customHeight="1" x14ac:dyDescent="0.25">
      <c r="B427" s="606"/>
      <c r="C427" s="606"/>
      <c r="D427" s="606"/>
      <c r="E427" s="606"/>
      <c r="F427" s="606"/>
      <c r="G427" s="606"/>
      <c r="H427" s="607"/>
      <c r="I427" s="606"/>
      <c r="J427" s="606"/>
      <c r="K427" s="606"/>
      <c r="L427" s="606"/>
      <c r="M427" s="606"/>
      <c r="N427" s="608"/>
      <c r="O427" s="608"/>
      <c r="P427" s="608"/>
      <c r="Q427" s="608"/>
    </row>
    <row r="428" spans="2:17" ht="27.75" customHeight="1" x14ac:dyDescent="0.25">
      <c r="B428" s="606"/>
      <c r="C428" s="606"/>
      <c r="D428" s="606"/>
      <c r="E428" s="606"/>
      <c r="F428" s="606"/>
      <c r="G428" s="606"/>
      <c r="H428" s="607"/>
      <c r="I428" s="606"/>
      <c r="J428" s="606"/>
      <c r="K428" s="606"/>
      <c r="L428" s="606"/>
      <c r="M428" s="606"/>
      <c r="N428" s="608"/>
      <c r="O428" s="608"/>
      <c r="P428" s="608"/>
      <c r="Q428" s="608"/>
    </row>
    <row r="429" spans="2:17" ht="27.75" customHeight="1" x14ac:dyDescent="0.25">
      <c r="B429" s="606"/>
      <c r="C429" s="606"/>
      <c r="D429" s="606"/>
      <c r="E429" s="606"/>
      <c r="F429" s="606"/>
      <c r="G429" s="606"/>
      <c r="H429" s="607"/>
      <c r="I429" s="606"/>
      <c r="J429" s="606"/>
      <c r="K429" s="606"/>
      <c r="L429" s="606"/>
      <c r="M429" s="606"/>
      <c r="N429" s="608"/>
      <c r="O429" s="608"/>
      <c r="P429" s="608"/>
      <c r="Q429" s="608"/>
    </row>
    <row r="430" spans="2:17" ht="27.75" customHeight="1" x14ac:dyDescent="0.25">
      <c r="B430" s="606"/>
      <c r="C430" s="606"/>
      <c r="D430" s="606"/>
      <c r="E430" s="606"/>
      <c r="F430" s="606"/>
      <c r="G430" s="606"/>
      <c r="H430" s="607"/>
      <c r="I430" s="606"/>
      <c r="J430" s="606"/>
      <c r="K430" s="606"/>
      <c r="L430" s="606"/>
      <c r="M430" s="606"/>
      <c r="N430" s="608"/>
      <c r="O430" s="608"/>
      <c r="P430" s="608"/>
      <c r="Q430" s="608"/>
    </row>
    <row r="431" spans="2:17" ht="27.75" customHeight="1" x14ac:dyDescent="0.25">
      <c r="B431" s="606"/>
      <c r="C431" s="606"/>
      <c r="D431" s="606"/>
      <c r="E431" s="606"/>
      <c r="F431" s="606"/>
      <c r="G431" s="606"/>
      <c r="H431" s="607"/>
      <c r="I431" s="606"/>
      <c r="J431" s="606"/>
      <c r="K431" s="606"/>
      <c r="L431" s="606"/>
      <c r="M431" s="606"/>
      <c r="N431" s="608"/>
      <c r="O431" s="608"/>
      <c r="P431" s="608"/>
      <c r="Q431" s="608"/>
    </row>
    <row r="432" spans="2:17" ht="27.75" customHeight="1" x14ac:dyDescent="0.25">
      <c r="B432" s="606"/>
      <c r="C432" s="606"/>
      <c r="D432" s="606"/>
      <c r="E432" s="606"/>
      <c r="F432" s="606"/>
      <c r="G432" s="606"/>
      <c r="H432" s="607"/>
      <c r="I432" s="606"/>
      <c r="J432" s="606"/>
      <c r="K432" s="606"/>
      <c r="L432" s="606"/>
      <c r="M432" s="606"/>
      <c r="N432" s="608"/>
      <c r="O432" s="608"/>
      <c r="P432" s="608"/>
      <c r="Q432" s="608"/>
    </row>
    <row r="433" spans="2:17" ht="27.75" customHeight="1" x14ac:dyDescent="0.25">
      <c r="B433" s="606"/>
      <c r="C433" s="606"/>
      <c r="D433" s="606"/>
      <c r="E433" s="606"/>
      <c r="F433" s="606"/>
      <c r="G433" s="606"/>
      <c r="H433" s="607"/>
      <c r="I433" s="606"/>
      <c r="J433" s="606"/>
      <c r="K433" s="606"/>
      <c r="L433" s="606"/>
      <c r="M433" s="606"/>
      <c r="N433" s="608"/>
      <c r="O433" s="608"/>
      <c r="P433" s="608"/>
      <c r="Q433" s="608"/>
    </row>
    <row r="434" spans="2:17" ht="27.75" customHeight="1" x14ac:dyDescent="0.25">
      <c r="B434" s="606"/>
      <c r="C434" s="606"/>
      <c r="D434" s="606"/>
      <c r="E434" s="606"/>
      <c r="F434" s="606"/>
      <c r="G434" s="606"/>
      <c r="H434" s="607"/>
      <c r="I434" s="606"/>
      <c r="J434" s="606"/>
      <c r="K434" s="606"/>
      <c r="L434" s="606"/>
      <c r="M434" s="606"/>
      <c r="N434" s="608"/>
      <c r="O434" s="608"/>
      <c r="P434" s="608"/>
      <c r="Q434" s="608"/>
    </row>
    <row r="435" spans="2:17" ht="27.75" customHeight="1" x14ac:dyDescent="0.25">
      <c r="B435" s="606"/>
      <c r="C435" s="606"/>
      <c r="D435" s="606"/>
      <c r="E435" s="606"/>
      <c r="F435" s="606"/>
      <c r="G435" s="606"/>
      <c r="H435" s="607"/>
      <c r="I435" s="606"/>
      <c r="J435" s="606"/>
      <c r="K435" s="606"/>
      <c r="L435" s="606"/>
      <c r="M435" s="606"/>
      <c r="N435" s="608"/>
      <c r="O435" s="608"/>
      <c r="P435" s="608"/>
      <c r="Q435" s="608"/>
    </row>
    <row r="436" spans="2:17" ht="27.75" customHeight="1" x14ac:dyDescent="0.25">
      <c r="B436" s="606"/>
      <c r="C436" s="606"/>
      <c r="D436" s="606"/>
      <c r="E436" s="606"/>
      <c r="F436" s="606"/>
      <c r="G436" s="606"/>
      <c r="H436" s="607"/>
      <c r="I436" s="606"/>
      <c r="J436" s="606"/>
      <c r="K436" s="606"/>
      <c r="L436" s="606"/>
      <c r="M436" s="606"/>
      <c r="N436" s="608"/>
      <c r="O436" s="608"/>
      <c r="P436" s="608"/>
      <c r="Q436" s="608"/>
    </row>
    <row r="437" spans="2:17" ht="27.75" customHeight="1" x14ac:dyDescent="0.25">
      <c r="B437" s="606"/>
      <c r="C437" s="606"/>
      <c r="D437" s="606"/>
      <c r="E437" s="606"/>
      <c r="F437" s="606"/>
      <c r="G437" s="606"/>
      <c r="H437" s="607"/>
      <c r="I437" s="606"/>
      <c r="J437" s="606"/>
      <c r="K437" s="606"/>
      <c r="L437" s="606"/>
      <c r="M437" s="606"/>
      <c r="N437" s="608"/>
      <c r="O437" s="608"/>
      <c r="P437" s="608"/>
      <c r="Q437" s="608"/>
    </row>
    <row r="438" spans="2:17" ht="27.75" customHeight="1" x14ac:dyDescent="0.25">
      <c r="B438" s="606"/>
      <c r="C438" s="606"/>
      <c r="D438" s="606"/>
      <c r="E438" s="606"/>
      <c r="F438" s="606"/>
      <c r="G438" s="606"/>
      <c r="H438" s="607"/>
      <c r="I438" s="606"/>
      <c r="J438" s="606"/>
      <c r="K438" s="606"/>
      <c r="L438" s="606"/>
      <c r="M438" s="606"/>
      <c r="N438" s="608"/>
      <c r="O438" s="608"/>
      <c r="P438" s="608"/>
      <c r="Q438" s="608"/>
    </row>
    <row r="439" spans="2:17" ht="27.75" customHeight="1" x14ac:dyDescent="0.25">
      <c r="B439" s="606"/>
      <c r="C439" s="606"/>
      <c r="D439" s="606"/>
      <c r="E439" s="606"/>
      <c r="F439" s="606"/>
      <c r="G439" s="606"/>
      <c r="H439" s="607"/>
      <c r="I439" s="606"/>
      <c r="J439" s="606"/>
      <c r="K439" s="606"/>
      <c r="L439" s="606"/>
      <c r="M439" s="606"/>
      <c r="N439" s="608"/>
      <c r="O439" s="608"/>
      <c r="P439" s="608"/>
      <c r="Q439" s="608"/>
    </row>
    <row r="440" spans="2:17" ht="27.75" customHeight="1" x14ac:dyDescent="0.25">
      <c r="B440" s="606"/>
      <c r="C440" s="606"/>
      <c r="D440" s="606"/>
      <c r="E440" s="606"/>
      <c r="F440" s="606"/>
      <c r="G440" s="606"/>
      <c r="H440" s="607"/>
      <c r="I440" s="606"/>
      <c r="J440" s="606"/>
      <c r="K440" s="606"/>
      <c r="L440" s="606"/>
      <c r="M440" s="606"/>
      <c r="N440" s="608"/>
      <c r="O440" s="608"/>
      <c r="P440" s="608"/>
      <c r="Q440" s="608"/>
    </row>
    <row r="441" spans="2:17" ht="27.75" customHeight="1" x14ac:dyDescent="0.25">
      <c r="B441" s="606"/>
      <c r="C441" s="606"/>
      <c r="D441" s="606"/>
      <c r="E441" s="606"/>
      <c r="F441" s="606"/>
      <c r="G441" s="606"/>
      <c r="H441" s="607"/>
      <c r="I441" s="606"/>
      <c r="J441" s="606"/>
      <c r="K441" s="606"/>
      <c r="L441" s="606"/>
      <c r="M441" s="606"/>
      <c r="N441" s="608"/>
      <c r="O441" s="608"/>
      <c r="P441" s="608"/>
      <c r="Q441" s="608"/>
    </row>
    <row r="442" spans="2:17" ht="27.75" customHeight="1" x14ac:dyDescent="0.25">
      <c r="B442" s="606"/>
      <c r="C442" s="606"/>
      <c r="D442" s="606"/>
      <c r="E442" s="606"/>
      <c r="F442" s="606"/>
      <c r="G442" s="606"/>
      <c r="H442" s="607"/>
      <c r="I442" s="606"/>
      <c r="J442" s="606"/>
      <c r="K442" s="606"/>
      <c r="L442" s="606"/>
      <c r="M442" s="606"/>
      <c r="N442" s="608"/>
      <c r="O442" s="608"/>
      <c r="P442" s="608"/>
      <c r="Q442" s="608"/>
    </row>
    <row r="443" spans="2:17" ht="27.75" customHeight="1" x14ac:dyDescent="0.25">
      <c r="B443" s="606"/>
      <c r="C443" s="606"/>
      <c r="D443" s="606"/>
      <c r="E443" s="606"/>
      <c r="F443" s="606"/>
      <c r="G443" s="606"/>
      <c r="H443" s="607"/>
      <c r="I443" s="606"/>
      <c r="J443" s="606"/>
      <c r="K443" s="606"/>
      <c r="L443" s="606"/>
      <c r="M443" s="606"/>
      <c r="N443" s="608"/>
      <c r="O443" s="608"/>
      <c r="P443" s="608"/>
      <c r="Q443" s="608"/>
    </row>
    <row r="444" spans="2:17" ht="27.75" customHeight="1" x14ac:dyDescent="0.25">
      <c r="B444" s="606"/>
      <c r="C444" s="606"/>
      <c r="D444" s="606"/>
      <c r="E444" s="606"/>
      <c r="F444" s="606"/>
      <c r="G444" s="606"/>
      <c r="H444" s="607"/>
      <c r="I444" s="606"/>
      <c r="J444" s="606"/>
      <c r="K444" s="606"/>
      <c r="L444" s="606"/>
      <c r="M444" s="606"/>
      <c r="N444" s="608"/>
      <c r="O444" s="608"/>
      <c r="P444" s="608"/>
      <c r="Q444" s="608"/>
    </row>
    <row r="445" spans="2:17" ht="27.75" customHeight="1" x14ac:dyDescent="0.25">
      <c r="B445" s="606"/>
      <c r="C445" s="606"/>
      <c r="D445" s="606"/>
      <c r="E445" s="606"/>
      <c r="F445" s="606"/>
      <c r="G445" s="606"/>
      <c r="H445" s="607"/>
      <c r="I445" s="606"/>
      <c r="J445" s="606"/>
      <c r="K445" s="606"/>
      <c r="L445" s="606"/>
      <c r="M445" s="606"/>
      <c r="N445" s="608"/>
      <c r="O445" s="608"/>
      <c r="P445" s="608"/>
      <c r="Q445" s="608"/>
    </row>
    <row r="446" spans="2:17" ht="27.75" customHeight="1" x14ac:dyDescent="0.25">
      <c r="B446" s="606"/>
      <c r="C446" s="606"/>
      <c r="D446" s="606"/>
      <c r="E446" s="606"/>
      <c r="F446" s="606"/>
      <c r="G446" s="606"/>
      <c r="H446" s="607"/>
      <c r="I446" s="606"/>
      <c r="J446" s="606"/>
      <c r="K446" s="606"/>
      <c r="L446" s="606"/>
      <c r="M446" s="606"/>
      <c r="N446" s="608"/>
      <c r="O446" s="608"/>
      <c r="P446" s="608"/>
      <c r="Q446" s="608"/>
    </row>
    <row r="447" spans="2:17" ht="27.75" customHeight="1" x14ac:dyDescent="0.25">
      <c r="B447" s="606"/>
      <c r="C447" s="606"/>
      <c r="D447" s="606"/>
      <c r="E447" s="606"/>
      <c r="F447" s="606"/>
      <c r="G447" s="606"/>
      <c r="H447" s="607"/>
      <c r="I447" s="606"/>
      <c r="J447" s="606"/>
      <c r="K447" s="606"/>
      <c r="L447" s="606"/>
      <c r="M447" s="606"/>
      <c r="N447" s="608"/>
      <c r="O447" s="608"/>
      <c r="P447" s="608"/>
      <c r="Q447" s="608"/>
    </row>
    <row r="448" spans="2:17" ht="27.75" customHeight="1" x14ac:dyDescent="0.25">
      <c r="B448" s="606"/>
      <c r="C448" s="606"/>
      <c r="D448" s="606"/>
      <c r="E448" s="606"/>
      <c r="F448" s="606"/>
      <c r="G448" s="606"/>
      <c r="H448" s="607"/>
      <c r="I448" s="606"/>
      <c r="J448" s="606"/>
      <c r="K448" s="606"/>
      <c r="L448" s="606"/>
      <c r="M448" s="606"/>
      <c r="N448" s="608"/>
      <c r="O448" s="608"/>
      <c r="P448" s="608"/>
      <c r="Q448" s="608"/>
    </row>
    <row r="449" spans="2:17" ht="27.75" customHeight="1" x14ac:dyDescent="0.25">
      <c r="B449" s="606"/>
      <c r="C449" s="606"/>
      <c r="D449" s="606"/>
      <c r="E449" s="606"/>
      <c r="F449" s="606"/>
      <c r="G449" s="606"/>
      <c r="H449" s="607"/>
      <c r="I449" s="606"/>
      <c r="J449" s="606"/>
      <c r="K449" s="606"/>
      <c r="L449" s="606"/>
      <c r="M449" s="606"/>
      <c r="N449" s="608"/>
      <c r="O449" s="608"/>
      <c r="P449" s="608"/>
      <c r="Q449" s="608"/>
    </row>
    <row r="450" spans="2:17" ht="27.75" customHeight="1" x14ac:dyDescent="0.25">
      <c r="B450" s="606"/>
      <c r="C450" s="606"/>
      <c r="D450" s="606"/>
      <c r="E450" s="606"/>
      <c r="F450" s="606"/>
      <c r="G450" s="606"/>
      <c r="H450" s="607"/>
      <c r="I450" s="606"/>
      <c r="J450" s="606"/>
      <c r="K450" s="606"/>
      <c r="L450" s="606"/>
      <c r="M450" s="606"/>
      <c r="N450" s="608"/>
      <c r="O450" s="608"/>
      <c r="P450" s="608"/>
      <c r="Q450" s="608"/>
    </row>
    <row r="451" spans="2:17" ht="27.75" customHeight="1" x14ac:dyDescent="0.25">
      <c r="B451" s="606"/>
      <c r="C451" s="606"/>
      <c r="D451" s="606"/>
      <c r="E451" s="606"/>
      <c r="F451" s="606"/>
      <c r="G451" s="606"/>
      <c r="H451" s="607"/>
      <c r="I451" s="606"/>
      <c r="J451" s="606"/>
      <c r="K451" s="606"/>
      <c r="L451" s="606"/>
      <c r="M451" s="606"/>
      <c r="N451" s="608"/>
      <c r="O451" s="608"/>
      <c r="P451" s="608"/>
      <c r="Q451" s="608"/>
    </row>
    <row r="452" spans="2:17" ht="27.75" customHeight="1" x14ac:dyDescent="0.25">
      <c r="B452" s="606"/>
      <c r="C452" s="606"/>
      <c r="D452" s="606"/>
      <c r="E452" s="606"/>
      <c r="F452" s="606"/>
      <c r="G452" s="606"/>
      <c r="H452" s="607"/>
      <c r="I452" s="606"/>
      <c r="J452" s="606"/>
      <c r="K452" s="606"/>
      <c r="L452" s="606"/>
      <c r="M452" s="606"/>
      <c r="N452" s="608"/>
      <c r="O452" s="608"/>
      <c r="P452" s="608"/>
      <c r="Q452" s="608"/>
    </row>
    <row r="453" spans="2:17" ht="27.75" customHeight="1" x14ac:dyDescent="0.25">
      <c r="B453" s="606"/>
      <c r="C453" s="606"/>
      <c r="D453" s="606"/>
      <c r="E453" s="606"/>
      <c r="F453" s="606"/>
      <c r="G453" s="606"/>
      <c r="H453" s="607"/>
      <c r="I453" s="606"/>
      <c r="J453" s="606"/>
      <c r="K453" s="606"/>
      <c r="L453" s="606"/>
      <c r="M453" s="606"/>
      <c r="N453" s="608"/>
      <c r="O453" s="608"/>
      <c r="P453" s="608"/>
      <c r="Q453" s="608"/>
    </row>
    <row r="454" spans="2:17" ht="27.75" customHeight="1" x14ac:dyDescent="0.25">
      <c r="B454" s="606"/>
      <c r="C454" s="606"/>
      <c r="D454" s="606"/>
      <c r="E454" s="606"/>
      <c r="F454" s="606"/>
      <c r="G454" s="606"/>
      <c r="H454" s="607"/>
      <c r="I454" s="606"/>
      <c r="J454" s="606"/>
      <c r="K454" s="606"/>
      <c r="L454" s="606"/>
      <c r="M454" s="606"/>
      <c r="N454" s="608"/>
      <c r="O454" s="608"/>
      <c r="P454" s="608"/>
      <c r="Q454" s="608"/>
    </row>
    <row r="455" spans="2:17" ht="27.75" customHeight="1" x14ac:dyDescent="0.25">
      <c r="B455" s="606"/>
      <c r="C455" s="606"/>
      <c r="D455" s="606"/>
      <c r="E455" s="606"/>
      <c r="F455" s="606"/>
      <c r="G455" s="606"/>
      <c r="H455" s="607"/>
      <c r="I455" s="606"/>
      <c r="J455" s="606"/>
      <c r="K455" s="606"/>
      <c r="L455" s="606"/>
      <c r="M455" s="606"/>
      <c r="N455" s="608"/>
      <c r="O455" s="608"/>
      <c r="P455" s="608"/>
      <c r="Q455" s="608"/>
    </row>
    <row r="456" spans="2:17" ht="27.75" customHeight="1" x14ac:dyDescent="0.25">
      <c r="B456" s="606"/>
      <c r="C456" s="606"/>
      <c r="D456" s="606"/>
      <c r="E456" s="606"/>
      <c r="F456" s="606"/>
      <c r="G456" s="606"/>
      <c r="H456" s="607"/>
      <c r="I456" s="606"/>
      <c r="J456" s="606"/>
      <c r="K456" s="606"/>
      <c r="L456" s="606"/>
      <c r="M456" s="606"/>
      <c r="N456" s="608"/>
      <c r="O456" s="608"/>
      <c r="P456" s="608"/>
      <c r="Q456" s="608"/>
    </row>
    <row r="457" spans="2:17" ht="27.75" customHeight="1" x14ac:dyDescent="0.25">
      <c r="B457" s="606"/>
      <c r="C457" s="606"/>
      <c r="D457" s="606"/>
      <c r="E457" s="606"/>
      <c r="F457" s="606"/>
      <c r="G457" s="606"/>
      <c r="H457" s="607"/>
      <c r="I457" s="606"/>
      <c r="J457" s="606"/>
      <c r="K457" s="606"/>
      <c r="L457" s="606"/>
      <c r="M457" s="606"/>
      <c r="N457" s="608"/>
      <c r="O457" s="608"/>
      <c r="P457" s="608"/>
      <c r="Q457" s="608"/>
    </row>
    <row r="458" spans="2:17" ht="27.75" customHeight="1" x14ac:dyDescent="0.25">
      <c r="B458" s="606"/>
      <c r="C458" s="606"/>
      <c r="D458" s="606"/>
      <c r="E458" s="606"/>
      <c r="F458" s="606"/>
      <c r="G458" s="606"/>
      <c r="H458" s="607"/>
      <c r="I458" s="606"/>
      <c r="J458" s="606"/>
      <c r="K458" s="606"/>
      <c r="L458" s="606"/>
      <c r="M458" s="606"/>
      <c r="N458" s="608"/>
      <c r="O458" s="608"/>
      <c r="P458" s="608"/>
      <c r="Q458" s="608"/>
    </row>
    <row r="459" spans="2:17" ht="27.75" customHeight="1" x14ac:dyDescent="0.25">
      <c r="B459" s="606"/>
      <c r="C459" s="606"/>
      <c r="D459" s="606"/>
      <c r="E459" s="606"/>
      <c r="F459" s="606"/>
      <c r="G459" s="606"/>
      <c r="H459" s="607"/>
      <c r="I459" s="606"/>
      <c r="J459" s="606"/>
      <c r="K459" s="606"/>
      <c r="L459" s="606"/>
      <c r="M459" s="606"/>
      <c r="N459" s="608"/>
      <c r="O459" s="608"/>
      <c r="P459" s="608"/>
      <c r="Q459" s="608"/>
    </row>
    <row r="460" spans="2:17" ht="27.75" customHeight="1" x14ac:dyDescent="0.25">
      <c r="B460" s="606"/>
      <c r="C460" s="606"/>
      <c r="D460" s="606"/>
      <c r="E460" s="606"/>
      <c r="F460" s="606"/>
      <c r="G460" s="606"/>
      <c r="H460" s="607"/>
      <c r="I460" s="606"/>
      <c r="J460" s="606"/>
      <c r="K460" s="606"/>
      <c r="L460" s="606"/>
      <c r="M460" s="606"/>
      <c r="N460" s="608"/>
      <c r="O460" s="608"/>
      <c r="P460" s="608"/>
      <c r="Q460" s="608"/>
    </row>
    <row r="461" spans="2:17" ht="27.75" customHeight="1" x14ac:dyDescent="0.25">
      <c r="B461" s="606"/>
      <c r="C461" s="606"/>
      <c r="D461" s="606"/>
      <c r="E461" s="606"/>
      <c r="F461" s="606"/>
      <c r="G461" s="606"/>
      <c r="H461" s="607"/>
      <c r="I461" s="606"/>
      <c r="J461" s="606"/>
      <c r="K461" s="606"/>
      <c r="L461" s="606"/>
      <c r="M461" s="606"/>
      <c r="N461" s="608"/>
      <c r="O461" s="608"/>
      <c r="P461" s="608"/>
      <c r="Q461" s="608"/>
    </row>
    <row r="462" spans="2:17" ht="27.75" customHeight="1" x14ac:dyDescent="0.25">
      <c r="B462" s="606"/>
      <c r="C462" s="606"/>
      <c r="D462" s="606"/>
      <c r="E462" s="606"/>
      <c r="F462" s="606"/>
      <c r="G462" s="606"/>
      <c r="H462" s="607"/>
      <c r="I462" s="606"/>
      <c r="J462" s="606"/>
      <c r="K462" s="606"/>
      <c r="L462" s="606"/>
      <c r="M462" s="606"/>
      <c r="N462" s="608"/>
      <c r="O462" s="608"/>
      <c r="P462" s="608"/>
      <c r="Q462" s="608"/>
    </row>
    <row r="463" spans="2:17" ht="27.75" customHeight="1" x14ac:dyDescent="0.25">
      <c r="B463" s="606"/>
      <c r="C463" s="606"/>
      <c r="D463" s="606"/>
      <c r="E463" s="606"/>
      <c r="F463" s="606"/>
      <c r="G463" s="606"/>
      <c r="H463" s="607"/>
      <c r="I463" s="606"/>
      <c r="J463" s="606"/>
      <c r="K463" s="606"/>
      <c r="L463" s="606"/>
      <c r="M463" s="606"/>
      <c r="N463" s="608"/>
      <c r="O463" s="608"/>
      <c r="P463" s="608"/>
      <c r="Q463" s="608"/>
    </row>
    <row r="464" spans="2:17" ht="27.75" customHeight="1" x14ac:dyDescent="0.25">
      <c r="B464" s="606"/>
      <c r="C464" s="606"/>
      <c r="D464" s="606"/>
      <c r="E464" s="606"/>
      <c r="F464" s="606"/>
      <c r="G464" s="606"/>
      <c r="H464" s="607"/>
      <c r="I464" s="606"/>
      <c r="J464" s="606"/>
      <c r="K464" s="606"/>
      <c r="L464" s="606"/>
      <c r="M464" s="606"/>
      <c r="N464" s="608"/>
      <c r="O464" s="608"/>
      <c r="P464" s="608"/>
      <c r="Q464" s="608"/>
    </row>
    <row r="465" spans="2:17" ht="27.75" customHeight="1" x14ac:dyDescent="0.25">
      <c r="B465" s="606"/>
      <c r="C465" s="606"/>
      <c r="D465" s="606"/>
      <c r="E465" s="606"/>
      <c r="F465" s="606"/>
      <c r="G465" s="606"/>
      <c r="H465" s="607"/>
      <c r="I465" s="606"/>
      <c r="J465" s="606"/>
      <c r="K465" s="606"/>
      <c r="L465" s="606"/>
      <c r="M465" s="606"/>
      <c r="N465" s="608"/>
      <c r="O465" s="608"/>
      <c r="P465" s="608"/>
      <c r="Q465" s="608"/>
    </row>
    <row r="466" spans="2:17" ht="27.75" customHeight="1" x14ac:dyDescent="0.25">
      <c r="B466" s="606"/>
      <c r="C466" s="606"/>
      <c r="D466" s="606"/>
      <c r="E466" s="606"/>
      <c r="F466" s="606"/>
      <c r="G466" s="606"/>
      <c r="H466" s="607"/>
      <c r="I466" s="606"/>
      <c r="J466" s="606"/>
      <c r="K466" s="606"/>
      <c r="L466" s="606"/>
      <c r="M466" s="606"/>
      <c r="N466" s="608"/>
      <c r="O466" s="608"/>
      <c r="P466" s="608"/>
      <c r="Q466" s="608"/>
    </row>
    <row r="467" spans="2:17" ht="27.75" customHeight="1" x14ac:dyDescent="0.25">
      <c r="B467" s="606"/>
      <c r="C467" s="606"/>
      <c r="D467" s="606"/>
      <c r="E467" s="606"/>
      <c r="F467" s="606"/>
      <c r="G467" s="606"/>
      <c r="H467" s="607"/>
      <c r="I467" s="606"/>
      <c r="J467" s="606"/>
      <c r="K467" s="606"/>
      <c r="L467" s="606"/>
      <c r="M467" s="606"/>
      <c r="N467" s="608"/>
      <c r="O467" s="608"/>
      <c r="P467" s="608"/>
      <c r="Q467" s="608"/>
    </row>
    <row r="468" spans="2:17" ht="27.75" customHeight="1" x14ac:dyDescent="0.25">
      <c r="B468" s="606"/>
      <c r="C468" s="606"/>
      <c r="D468" s="606"/>
      <c r="E468" s="606"/>
      <c r="F468" s="606"/>
      <c r="G468" s="606"/>
      <c r="H468" s="607"/>
      <c r="I468" s="606"/>
      <c r="J468" s="606"/>
      <c r="K468" s="606"/>
      <c r="L468" s="606"/>
      <c r="M468" s="606"/>
      <c r="N468" s="608"/>
      <c r="O468" s="608"/>
      <c r="P468" s="608"/>
      <c r="Q468" s="608"/>
    </row>
    <row r="469" spans="2:17" ht="27.75" customHeight="1" x14ac:dyDescent="0.25">
      <c r="B469" s="606"/>
      <c r="C469" s="606"/>
      <c r="D469" s="606"/>
      <c r="E469" s="606"/>
      <c r="F469" s="606"/>
      <c r="G469" s="606"/>
      <c r="H469" s="607"/>
      <c r="I469" s="606"/>
      <c r="J469" s="606"/>
      <c r="K469" s="606"/>
      <c r="L469" s="606"/>
      <c r="M469" s="606"/>
      <c r="N469" s="608"/>
      <c r="O469" s="608"/>
      <c r="P469" s="608"/>
      <c r="Q469" s="608"/>
    </row>
    <row r="470" spans="2:17" ht="27.75" customHeight="1" x14ac:dyDescent="0.25">
      <c r="B470" s="606"/>
      <c r="C470" s="606"/>
      <c r="D470" s="606"/>
      <c r="E470" s="606"/>
      <c r="F470" s="606"/>
      <c r="G470" s="606"/>
      <c r="H470" s="607"/>
      <c r="I470" s="606"/>
      <c r="J470" s="606"/>
      <c r="K470" s="606"/>
      <c r="L470" s="606"/>
      <c r="M470" s="606"/>
      <c r="N470" s="608"/>
      <c r="O470" s="608"/>
      <c r="P470" s="608"/>
      <c r="Q470" s="608"/>
    </row>
    <row r="471" spans="2:17" ht="27.75" customHeight="1" x14ac:dyDescent="0.25">
      <c r="B471" s="606"/>
      <c r="C471" s="606"/>
      <c r="D471" s="606"/>
      <c r="E471" s="606"/>
      <c r="F471" s="606"/>
      <c r="G471" s="606"/>
      <c r="H471" s="607"/>
      <c r="I471" s="606"/>
      <c r="J471" s="606"/>
      <c r="K471" s="606"/>
      <c r="L471" s="606"/>
      <c r="M471" s="606"/>
      <c r="N471" s="608"/>
      <c r="O471" s="608"/>
      <c r="P471" s="608"/>
      <c r="Q471" s="608"/>
    </row>
    <row r="472" spans="2:17" ht="27.75" customHeight="1" x14ac:dyDescent="0.25">
      <c r="B472" s="606"/>
      <c r="C472" s="606"/>
      <c r="D472" s="606"/>
      <c r="E472" s="606"/>
      <c r="F472" s="606"/>
      <c r="G472" s="606"/>
      <c r="H472" s="607"/>
      <c r="I472" s="606"/>
      <c r="J472" s="606"/>
      <c r="K472" s="606"/>
      <c r="L472" s="606"/>
      <c r="M472" s="606"/>
      <c r="N472" s="608"/>
      <c r="O472" s="608"/>
      <c r="P472" s="608"/>
      <c r="Q472" s="608"/>
    </row>
    <row r="473" spans="2:17" ht="27.75" customHeight="1" x14ac:dyDescent="0.25">
      <c r="B473" s="606"/>
      <c r="C473" s="606"/>
      <c r="D473" s="606"/>
      <c r="E473" s="606"/>
      <c r="F473" s="606"/>
      <c r="G473" s="606"/>
      <c r="H473" s="607"/>
      <c r="I473" s="606"/>
      <c r="J473" s="606"/>
      <c r="K473" s="606"/>
      <c r="L473" s="606"/>
      <c r="M473" s="606"/>
      <c r="N473" s="608"/>
      <c r="O473" s="608"/>
      <c r="P473" s="608"/>
      <c r="Q473" s="608"/>
    </row>
    <row r="474" spans="2:17" ht="27.75" customHeight="1" x14ac:dyDescent="0.25">
      <c r="B474" s="606"/>
      <c r="C474" s="606"/>
      <c r="D474" s="606"/>
      <c r="E474" s="606"/>
      <c r="F474" s="606"/>
      <c r="G474" s="606"/>
      <c r="H474" s="607"/>
      <c r="I474" s="606"/>
      <c r="J474" s="606"/>
      <c r="K474" s="606"/>
      <c r="L474" s="606"/>
      <c r="M474" s="606"/>
      <c r="N474" s="608"/>
      <c r="O474" s="608"/>
      <c r="P474" s="608"/>
      <c r="Q474" s="608"/>
    </row>
    <row r="475" spans="2:17" ht="27.75" customHeight="1" x14ac:dyDescent="0.25">
      <c r="B475" s="606"/>
      <c r="C475" s="606"/>
      <c r="D475" s="606"/>
      <c r="E475" s="606"/>
      <c r="F475" s="606"/>
      <c r="G475" s="606"/>
      <c r="H475" s="607"/>
      <c r="I475" s="606"/>
      <c r="J475" s="606"/>
      <c r="K475" s="606"/>
      <c r="L475" s="606"/>
      <c r="M475" s="606"/>
      <c r="N475" s="608"/>
      <c r="O475" s="608"/>
      <c r="P475" s="608"/>
      <c r="Q475" s="608"/>
    </row>
    <row r="476" spans="2:17" ht="27.75" customHeight="1" x14ac:dyDescent="0.25">
      <c r="B476" s="606"/>
      <c r="C476" s="606"/>
      <c r="D476" s="606"/>
      <c r="E476" s="606"/>
      <c r="F476" s="606"/>
      <c r="G476" s="606"/>
      <c r="H476" s="607"/>
      <c r="I476" s="606"/>
      <c r="J476" s="606"/>
      <c r="K476" s="606"/>
      <c r="L476" s="606"/>
      <c r="M476" s="606"/>
      <c r="N476" s="608"/>
      <c r="O476" s="608"/>
      <c r="P476" s="608"/>
      <c r="Q476" s="608"/>
    </row>
    <row r="477" spans="2:17" ht="27.75" customHeight="1" x14ac:dyDescent="0.25">
      <c r="B477" s="606"/>
      <c r="C477" s="606"/>
      <c r="D477" s="606"/>
      <c r="E477" s="606"/>
      <c r="F477" s="606"/>
      <c r="G477" s="606"/>
      <c r="H477" s="607"/>
      <c r="I477" s="606"/>
      <c r="J477" s="606"/>
      <c r="K477" s="606"/>
      <c r="L477" s="606"/>
      <c r="M477" s="606"/>
      <c r="N477" s="608"/>
      <c r="O477" s="608"/>
      <c r="P477" s="608"/>
      <c r="Q477" s="608"/>
    </row>
    <row r="478" spans="2:17" ht="27.75" customHeight="1" x14ac:dyDescent="0.25">
      <c r="B478" s="606"/>
      <c r="C478" s="606"/>
      <c r="D478" s="606"/>
      <c r="E478" s="606"/>
      <c r="F478" s="606"/>
      <c r="G478" s="606"/>
      <c r="H478" s="607"/>
      <c r="I478" s="606"/>
      <c r="J478" s="606"/>
      <c r="K478" s="606"/>
      <c r="L478" s="606"/>
      <c r="M478" s="606"/>
      <c r="N478" s="608"/>
      <c r="O478" s="608"/>
      <c r="P478" s="608"/>
      <c r="Q478" s="608"/>
    </row>
    <row r="479" spans="2:17" ht="27.75" customHeight="1" x14ac:dyDescent="0.25">
      <c r="B479" s="606"/>
      <c r="C479" s="606"/>
      <c r="D479" s="606"/>
      <c r="E479" s="606"/>
      <c r="F479" s="606"/>
      <c r="G479" s="606"/>
      <c r="H479" s="607"/>
      <c r="I479" s="606"/>
      <c r="J479" s="606"/>
      <c r="K479" s="606"/>
      <c r="L479" s="606"/>
      <c r="M479" s="606"/>
      <c r="N479" s="608"/>
      <c r="O479" s="608"/>
      <c r="P479" s="608"/>
      <c r="Q479" s="608"/>
    </row>
    <row r="480" spans="2:17" ht="27.75" customHeight="1" x14ac:dyDescent="0.25">
      <c r="B480" s="606"/>
      <c r="C480" s="606"/>
      <c r="D480" s="606"/>
      <c r="E480" s="606"/>
      <c r="F480" s="606"/>
      <c r="G480" s="606"/>
      <c r="H480" s="607"/>
      <c r="I480" s="606"/>
      <c r="J480" s="606"/>
      <c r="K480" s="606"/>
      <c r="L480" s="606"/>
      <c r="M480" s="606"/>
      <c r="N480" s="608"/>
      <c r="O480" s="608"/>
      <c r="P480" s="608"/>
      <c r="Q480" s="608"/>
    </row>
    <row r="481" spans="2:17" ht="27.75" customHeight="1" x14ac:dyDescent="0.25">
      <c r="B481" s="606"/>
      <c r="C481" s="606"/>
      <c r="D481" s="606"/>
      <c r="E481" s="606"/>
      <c r="F481" s="606"/>
      <c r="G481" s="606"/>
      <c r="H481" s="607"/>
      <c r="I481" s="606"/>
      <c r="J481" s="606"/>
      <c r="K481" s="606"/>
      <c r="L481" s="606"/>
      <c r="M481" s="606"/>
      <c r="N481" s="608"/>
      <c r="O481" s="608"/>
      <c r="P481" s="608"/>
      <c r="Q481" s="608"/>
    </row>
    <row r="482" spans="2:17" ht="27.75" customHeight="1" x14ac:dyDescent="0.25">
      <c r="B482" s="606"/>
      <c r="C482" s="606"/>
      <c r="D482" s="606"/>
      <c r="E482" s="606"/>
      <c r="F482" s="606"/>
      <c r="G482" s="606"/>
      <c r="H482" s="607"/>
      <c r="I482" s="606"/>
      <c r="J482" s="606"/>
      <c r="K482" s="606"/>
      <c r="L482" s="606"/>
      <c r="M482" s="606"/>
      <c r="N482" s="608"/>
      <c r="O482" s="608"/>
      <c r="P482" s="608"/>
      <c r="Q482" s="608"/>
    </row>
    <row r="483" spans="2:17" ht="27.75" customHeight="1" x14ac:dyDescent="0.25">
      <c r="B483" s="606"/>
      <c r="C483" s="606"/>
      <c r="D483" s="606"/>
      <c r="E483" s="606"/>
      <c r="F483" s="606"/>
      <c r="G483" s="606"/>
      <c r="H483" s="607"/>
      <c r="I483" s="606"/>
      <c r="J483" s="606"/>
      <c r="K483" s="606"/>
      <c r="L483" s="606"/>
      <c r="M483" s="606"/>
      <c r="N483" s="608"/>
      <c r="O483" s="608"/>
      <c r="P483" s="608"/>
      <c r="Q483" s="608"/>
    </row>
    <row r="484" spans="2:17" ht="27.75" customHeight="1" x14ac:dyDescent="0.25">
      <c r="B484" s="606"/>
      <c r="C484" s="606"/>
      <c r="D484" s="606"/>
      <c r="E484" s="606"/>
      <c r="F484" s="606"/>
      <c r="G484" s="606"/>
      <c r="H484" s="607"/>
      <c r="I484" s="606"/>
      <c r="J484" s="606"/>
      <c r="K484" s="606"/>
      <c r="L484" s="606"/>
      <c r="M484" s="606"/>
      <c r="N484" s="608"/>
      <c r="O484" s="608"/>
      <c r="P484" s="608"/>
      <c r="Q484" s="608"/>
    </row>
    <row r="485" spans="2:17" ht="27.75" customHeight="1" x14ac:dyDescent="0.25">
      <c r="B485" s="606"/>
      <c r="C485" s="606"/>
      <c r="D485" s="606"/>
      <c r="E485" s="606"/>
      <c r="F485" s="606"/>
      <c r="G485" s="606"/>
      <c r="H485" s="607"/>
      <c r="I485" s="606"/>
      <c r="J485" s="606"/>
      <c r="K485" s="606"/>
      <c r="L485" s="606"/>
      <c r="M485" s="606"/>
      <c r="N485" s="608"/>
      <c r="O485" s="608"/>
      <c r="P485" s="608"/>
      <c r="Q485" s="608"/>
    </row>
    <row r="486" spans="2:17" ht="27.75" customHeight="1" x14ac:dyDescent="0.25">
      <c r="B486" s="606"/>
      <c r="C486" s="606"/>
      <c r="D486" s="606"/>
      <c r="E486" s="606"/>
      <c r="F486" s="606"/>
      <c r="G486" s="606"/>
      <c r="H486" s="607"/>
      <c r="I486" s="606"/>
      <c r="J486" s="606"/>
      <c r="K486" s="606"/>
      <c r="L486" s="606"/>
      <c r="M486" s="606"/>
      <c r="N486" s="608"/>
      <c r="O486" s="608"/>
      <c r="P486" s="608"/>
      <c r="Q486" s="608"/>
    </row>
    <row r="487" spans="2:17" ht="27.75" customHeight="1" x14ac:dyDescent="0.25">
      <c r="B487" s="606"/>
      <c r="C487" s="606"/>
      <c r="D487" s="606"/>
      <c r="E487" s="606"/>
      <c r="F487" s="606"/>
      <c r="G487" s="606"/>
      <c r="H487" s="607"/>
      <c r="I487" s="606"/>
      <c r="J487" s="606"/>
      <c r="K487" s="606"/>
      <c r="L487" s="606"/>
      <c r="M487" s="606"/>
      <c r="N487" s="608"/>
      <c r="O487" s="608"/>
      <c r="P487" s="608"/>
      <c r="Q487" s="608"/>
    </row>
    <row r="488" spans="2:17" ht="27.75" customHeight="1" x14ac:dyDescent="0.25">
      <c r="B488" s="606"/>
      <c r="C488" s="606"/>
      <c r="D488" s="606"/>
      <c r="E488" s="606"/>
      <c r="F488" s="606"/>
      <c r="G488" s="606"/>
      <c r="H488" s="607"/>
      <c r="I488" s="606"/>
      <c r="J488" s="606"/>
      <c r="K488" s="606"/>
      <c r="L488" s="606"/>
      <c r="M488" s="606"/>
      <c r="N488" s="608"/>
      <c r="O488" s="608"/>
      <c r="P488" s="608"/>
      <c r="Q488" s="608"/>
    </row>
    <row r="489" spans="2:17" ht="27.75" customHeight="1" x14ac:dyDescent="0.25">
      <c r="B489" s="606"/>
      <c r="C489" s="606"/>
      <c r="D489" s="606"/>
      <c r="E489" s="606"/>
      <c r="F489" s="606"/>
      <c r="G489" s="606"/>
      <c r="H489" s="607"/>
      <c r="I489" s="606"/>
      <c r="J489" s="606"/>
      <c r="K489" s="606"/>
      <c r="L489" s="606"/>
      <c r="M489" s="606"/>
      <c r="N489" s="608"/>
      <c r="O489" s="608"/>
      <c r="P489" s="608"/>
      <c r="Q489" s="608"/>
    </row>
    <row r="490" spans="2:17" ht="27.75" customHeight="1" x14ac:dyDescent="0.25">
      <c r="B490" s="606"/>
      <c r="C490" s="606"/>
      <c r="D490" s="606"/>
      <c r="E490" s="606"/>
      <c r="F490" s="606"/>
      <c r="G490" s="606"/>
      <c r="H490" s="607"/>
      <c r="I490" s="606"/>
      <c r="J490" s="606"/>
      <c r="K490" s="606"/>
      <c r="L490" s="606"/>
      <c r="M490" s="606"/>
      <c r="N490" s="608"/>
      <c r="O490" s="608"/>
      <c r="P490" s="608"/>
      <c r="Q490" s="608"/>
    </row>
    <row r="491" spans="2:17" ht="27.75" customHeight="1" x14ac:dyDescent="0.25">
      <c r="B491" s="606"/>
      <c r="C491" s="606"/>
      <c r="D491" s="606"/>
      <c r="E491" s="606"/>
      <c r="F491" s="606"/>
      <c r="G491" s="606"/>
      <c r="H491" s="607"/>
      <c r="I491" s="606"/>
      <c r="J491" s="606"/>
      <c r="K491" s="606"/>
      <c r="L491" s="606"/>
      <c r="M491" s="606"/>
      <c r="N491" s="608"/>
      <c r="O491" s="608"/>
      <c r="P491" s="608"/>
      <c r="Q491" s="608"/>
    </row>
    <row r="492" spans="2:17" ht="27.75" customHeight="1" x14ac:dyDescent="0.25">
      <c r="B492" s="606"/>
      <c r="C492" s="606"/>
      <c r="D492" s="606"/>
      <c r="E492" s="606"/>
      <c r="F492" s="606"/>
      <c r="G492" s="606"/>
      <c r="H492" s="607"/>
      <c r="I492" s="606"/>
      <c r="J492" s="606"/>
      <c r="K492" s="606"/>
      <c r="L492" s="606"/>
      <c r="M492" s="606"/>
      <c r="N492" s="608"/>
      <c r="O492" s="608"/>
      <c r="P492" s="608"/>
      <c r="Q492" s="608"/>
    </row>
    <row r="493" spans="2:17" ht="27.75" customHeight="1" x14ac:dyDescent="0.25">
      <c r="B493" s="606"/>
      <c r="C493" s="606"/>
      <c r="D493" s="606"/>
      <c r="E493" s="606"/>
      <c r="F493" s="606"/>
      <c r="G493" s="606"/>
      <c r="H493" s="607"/>
      <c r="I493" s="606"/>
      <c r="J493" s="606"/>
      <c r="K493" s="606"/>
      <c r="L493" s="606"/>
      <c r="M493" s="606"/>
      <c r="N493" s="608"/>
      <c r="O493" s="608"/>
      <c r="P493" s="608"/>
      <c r="Q493" s="608"/>
    </row>
    <row r="494" spans="2:17" ht="27.75" customHeight="1" x14ac:dyDescent="0.25">
      <c r="B494" s="606"/>
      <c r="C494" s="606"/>
      <c r="D494" s="606"/>
      <c r="E494" s="606"/>
      <c r="F494" s="606"/>
      <c r="G494" s="606"/>
      <c r="H494" s="607"/>
      <c r="I494" s="606"/>
      <c r="J494" s="606"/>
      <c r="K494" s="606"/>
      <c r="L494" s="606"/>
      <c r="M494" s="606"/>
      <c r="N494" s="608"/>
      <c r="O494" s="608"/>
      <c r="P494" s="608"/>
      <c r="Q494" s="608"/>
    </row>
    <row r="495" spans="2:17" ht="27.75" customHeight="1" x14ac:dyDescent="0.25">
      <c r="B495" s="606"/>
      <c r="C495" s="606"/>
      <c r="D495" s="606"/>
      <c r="E495" s="606"/>
      <c r="F495" s="606"/>
      <c r="G495" s="606"/>
      <c r="H495" s="607"/>
      <c r="I495" s="606"/>
      <c r="J495" s="606"/>
      <c r="K495" s="606"/>
      <c r="L495" s="606"/>
      <c r="M495" s="606"/>
      <c r="N495" s="608"/>
      <c r="O495" s="608"/>
      <c r="P495" s="608"/>
      <c r="Q495" s="608"/>
    </row>
    <row r="496" spans="2:17" ht="27.75" customHeight="1" x14ac:dyDescent="0.25">
      <c r="B496" s="606"/>
      <c r="C496" s="606"/>
      <c r="D496" s="606"/>
      <c r="E496" s="606"/>
      <c r="F496" s="606"/>
      <c r="G496" s="606"/>
      <c r="H496" s="607"/>
      <c r="I496" s="606"/>
      <c r="J496" s="606"/>
      <c r="K496" s="606"/>
      <c r="L496" s="606"/>
      <c r="M496" s="606"/>
      <c r="N496" s="608"/>
      <c r="O496" s="608"/>
      <c r="P496" s="608"/>
      <c r="Q496" s="608"/>
    </row>
    <row r="497" spans="2:17" ht="27.75" customHeight="1" x14ac:dyDescent="0.25">
      <c r="B497" s="606"/>
      <c r="C497" s="606"/>
      <c r="D497" s="606"/>
      <c r="E497" s="606"/>
      <c r="F497" s="606"/>
      <c r="G497" s="606"/>
      <c r="H497" s="607"/>
      <c r="I497" s="606"/>
      <c r="J497" s="606"/>
      <c r="K497" s="606"/>
      <c r="L497" s="606"/>
      <c r="M497" s="606"/>
      <c r="N497" s="608"/>
      <c r="O497" s="608"/>
      <c r="P497" s="608"/>
      <c r="Q497" s="608"/>
    </row>
    <row r="498" spans="2:17" ht="27.75" customHeight="1" x14ac:dyDescent="0.25">
      <c r="B498" s="606"/>
      <c r="C498" s="606"/>
      <c r="D498" s="606"/>
      <c r="E498" s="606"/>
      <c r="F498" s="606"/>
      <c r="G498" s="606"/>
      <c r="H498" s="607"/>
      <c r="I498" s="606"/>
      <c r="J498" s="606"/>
      <c r="K498" s="606"/>
      <c r="L498" s="606"/>
      <c r="M498" s="606"/>
      <c r="N498" s="608"/>
      <c r="O498" s="608"/>
      <c r="P498" s="608"/>
      <c r="Q498" s="608"/>
    </row>
    <row r="499" spans="2:17" ht="27.75" customHeight="1" x14ac:dyDescent="0.25">
      <c r="B499" s="606"/>
      <c r="C499" s="606"/>
      <c r="D499" s="606"/>
      <c r="E499" s="606"/>
      <c r="F499" s="606"/>
      <c r="G499" s="606"/>
      <c r="H499" s="607"/>
      <c r="I499" s="606"/>
      <c r="J499" s="606"/>
      <c r="K499" s="606"/>
      <c r="L499" s="606"/>
      <c r="M499" s="606"/>
      <c r="N499" s="608"/>
      <c r="O499" s="608"/>
      <c r="P499" s="608"/>
      <c r="Q499" s="608"/>
    </row>
    <row r="500" spans="2:17" ht="27.75" customHeight="1" x14ac:dyDescent="0.25">
      <c r="B500" s="606"/>
      <c r="C500" s="606"/>
      <c r="D500" s="606"/>
      <c r="E500" s="606"/>
      <c r="F500" s="606"/>
      <c r="G500" s="606"/>
      <c r="H500" s="607"/>
      <c r="I500" s="606"/>
      <c r="J500" s="606"/>
      <c r="K500" s="606"/>
      <c r="L500" s="606"/>
      <c r="M500" s="606"/>
      <c r="N500" s="608"/>
      <c r="O500" s="608"/>
      <c r="P500" s="608"/>
      <c r="Q500" s="608"/>
    </row>
    <row r="501" spans="2:17" ht="27.75" customHeight="1" x14ac:dyDescent="0.25">
      <c r="B501" s="606"/>
      <c r="C501" s="606"/>
      <c r="D501" s="606"/>
      <c r="E501" s="606"/>
      <c r="F501" s="606"/>
      <c r="G501" s="606"/>
      <c r="H501" s="607"/>
      <c r="I501" s="606"/>
      <c r="J501" s="606"/>
      <c r="K501" s="606"/>
      <c r="L501" s="606"/>
      <c r="M501" s="606"/>
      <c r="N501" s="608"/>
      <c r="O501" s="608"/>
      <c r="P501" s="608"/>
      <c r="Q501" s="608"/>
    </row>
    <row r="502" spans="2:17" ht="27.75" customHeight="1" x14ac:dyDescent="0.25">
      <c r="B502" s="606"/>
      <c r="C502" s="606"/>
      <c r="D502" s="606"/>
      <c r="E502" s="606"/>
      <c r="F502" s="606"/>
      <c r="G502" s="606"/>
      <c r="H502" s="607"/>
      <c r="I502" s="606"/>
      <c r="J502" s="606"/>
      <c r="K502" s="606"/>
      <c r="L502" s="606"/>
      <c r="M502" s="606"/>
      <c r="N502" s="608"/>
      <c r="O502" s="608"/>
      <c r="P502" s="608"/>
      <c r="Q502" s="608"/>
    </row>
    <row r="503" spans="2:17" ht="27.75" customHeight="1" x14ac:dyDescent="0.25">
      <c r="B503" s="606"/>
      <c r="C503" s="606"/>
      <c r="D503" s="606"/>
      <c r="E503" s="606"/>
      <c r="F503" s="606"/>
      <c r="G503" s="606"/>
      <c r="H503" s="607"/>
      <c r="I503" s="606"/>
      <c r="J503" s="606"/>
      <c r="K503" s="606"/>
      <c r="L503" s="606"/>
      <c r="M503" s="606"/>
      <c r="N503" s="608"/>
      <c r="O503" s="608"/>
      <c r="P503" s="608"/>
      <c r="Q503" s="608"/>
    </row>
    <row r="504" spans="2:17" ht="27.75" customHeight="1" x14ac:dyDescent="0.25">
      <c r="B504" s="606"/>
      <c r="C504" s="606"/>
      <c r="D504" s="606"/>
      <c r="E504" s="606"/>
      <c r="F504" s="606"/>
      <c r="G504" s="606"/>
      <c r="H504" s="607"/>
      <c r="I504" s="606"/>
      <c r="J504" s="606"/>
      <c r="K504" s="606"/>
      <c r="L504" s="606"/>
      <c r="M504" s="606"/>
      <c r="N504" s="608"/>
      <c r="O504" s="608"/>
      <c r="P504" s="608"/>
      <c r="Q504" s="608"/>
    </row>
    <row r="505" spans="2:17" ht="27.75" customHeight="1" x14ac:dyDescent="0.25">
      <c r="B505" s="606"/>
      <c r="C505" s="606"/>
      <c r="D505" s="606"/>
      <c r="E505" s="606"/>
      <c r="F505" s="606"/>
      <c r="G505" s="606"/>
      <c r="H505" s="607"/>
      <c r="I505" s="606"/>
      <c r="J505" s="606"/>
      <c r="K505" s="606"/>
      <c r="L505" s="606"/>
      <c r="M505" s="606"/>
      <c r="N505" s="608"/>
      <c r="O505" s="608"/>
      <c r="P505" s="608"/>
      <c r="Q505" s="608"/>
    </row>
    <row r="506" spans="2:17" ht="27.75" customHeight="1" x14ac:dyDescent="0.25">
      <c r="B506" s="606"/>
      <c r="C506" s="606"/>
      <c r="D506" s="606"/>
      <c r="E506" s="606"/>
      <c r="F506" s="606"/>
      <c r="G506" s="606"/>
      <c r="H506" s="607"/>
      <c r="I506" s="606"/>
      <c r="J506" s="606"/>
      <c r="K506" s="606"/>
      <c r="L506" s="606"/>
      <c r="M506" s="606"/>
      <c r="N506" s="608"/>
      <c r="O506" s="608"/>
      <c r="P506" s="608"/>
      <c r="Q506" s="608"/>
    </row>
    <row r="507" spans="2:17" ht="27.75" customHeight="1" x14ac:dyDescent="0.25">
      <c r="B507" s="606"/>
      <c r="C507" s="606"/>
      <c r="D507" s="606"/>
      <c r="E507" s="606"/>
      <c r="F507" s="606"/>
      <c r="G507" s="606"/>
      <c r="H507" s="607"/>
      <c r="I507" s="606"/>
      <c r="J507" s="606"/>
      <c r="K507" s="606"/>
      <c r="L507" s="606"/>
      <c r="M507" s="606"/>
      <c r="N507" s="608"/>
      <c r="O507" s="608"/>
      <c r="P507" s="608"/>
      <c r="Q507" s="608"/>
    </row>
    <row r="508" spans="2:17" ht="27.75" customHeight="1" x14ac:dyDescent="0.25">
      <c r="B508" s="606"/>
      <c r="C508" s="606"/>
      <c r="D508" s="606"/>
      <c r="E508" s="606"/>
      <c r="F508" s="606"/>
      <c r="G508" s="606"/>
      <c r="H508" s="607"/>
      <c r="I508" s="606"/>
      <c r="J508" s="606"/>
      <c r="K508" s="606"/>
      <c r="L508" s="606"/>
      <c r="M508" s="606"/>
      <c r="N508" s="608"/>
      <c r="O508" s="608"/>
      <c r="P508" s="608"/>
      <c r="Q508" s="608"/>
    </row>
    <row r="509" spans="2:17" ht="27.75" customHeight="1" x14ac:dyDescent="0.25">
      <c r="B509" s="606"/>
      <c r="C509" s="606"/>
      <c r="D509" s="606"/>
      <c r="E509" s="606"/>
      <c r="F509" s="606"/>
      <c r="G509" s="606"/>
      <c r="H509" s="607"/>
      <c r="I509" s="606"/>
      <c r="J509" s="606"/>
      <c r="K509" s="606"/>
      <c r="L509" s="606"/>
      <c r="M509" s="606"/>
      <c r="N509" s="608"/>
      <c r="O509" s="608"/>
      <c r="P509" s="608"/>
      <c r="Q509" s="608"/>
    </row>
    <row r="510" spans="2:17" ht="27.75" customHeight="1" x14ac:dyDescent="0.25">
      <c r="B510" s="606"/>
      <c r="C510" s="606"/>
      <c r="D510" s="606"/>
      <c r="E510" s="606"/>
      <c r="F510" s="606"/>
      <c r="G510" s="606"/>
      <c r="H510" s="607"/>
      <c r="I510" s="606"/>
      <c r="J510" s="606"/>
      <c r="K510" s="606"/>
      <c r="L510" s="606"/>
      <c r="M510" s="606"/>
      <c r="N510" s="608"/>
      <c r="O510" s="608"/>
      <c r="P510" s="608"/>
      <c r="Q510" s="608"/>
    </row>
    <row r="511" spans="2:17" ht="27.75" customHeight="1" x14ac:dyDescent="0.25">
      <c r="B511" s="606"/>
      <c r="C511" s="606"/>
      <c r="D511" s="606"/>
      <c r="E511" s="606"/>
      <c r="F511" s="606"/>
      <c r="G511" s="606"/>
      <c r="H511" s="607"/>
      <c r="I511" s="606"/>
      <c r="J511" s="606"/>
      <c r="K511" s="606"/>
      <c r="L511" s="606"/>
      <c r="M511" s="606"/>
      <c r="N511" s="608"/>
      <c r="O511" s="608"/>
      <c r="P511" s="608"/>
      <c r="Q511" s="608"/>
    </row>
    <row r="512" spans="2:17" ht="27.75" customHeight="1" x14ac:dyDescent="0.25">
      <c r="B512" s="606"/>
      <c r="C512" s="606"/>
      <c r="D512" s="606"/>
      <c r="E512" s="606"/>
      <c r="F512" s="606"/>
      <c r="G512" s="606"/>
      <c r="H512" s="607"/>
      <c r="I512" s="606"/>
      <c r="J512" s="606"/>
      <c r="K512" s="606"/>
      <c r="L512" s="606"/>
      <c r="M512" s="606"/>
      <c r="N512" s="608"/>
      <c r="O512" s="608"/>
      <c r="P512" s="608"/>
      <c r="Q512" s="608"/>
    </row>
    <row r="513" spans="2:17" ht="27.75" customHeight="1" x14ac:dyDescent="0.25">
      <c r="B513" s="606"/>
      <c r="C513" s="606"/>
      <c r="D513" s="606"/>
      <c r="E513" s="606"/>
      <c r="F513" s="606"/>
      <c r="G513" s="606"/>
      <c r="H513" s="607"/>
      <c r="I513" s="606"/>
      <c r="J513" s="606"/>
      <c r="K513" s="606"/>
      <c r="L513" s="606"/>
      <c r="M513" s="606"/>
      <c r="N513" s="608"/>
      <c r="O513" s="608"/>
      <c r="P513" s="608"/>
      <c r="Q513" s="608"/>
    </row>
    <row r="514" spans="2:17" ht="27.75" customHeight="1" x14ac:dyDescent="0.25">
      <c r="B514" s="606"/>
      <c r="C514" s="606"/>
      <c r="D514" s="606"/>
      <c r="E514" s="606"/>
      <c r="F514" s="606"/>
      <c r="G514" s="606"/>
      <c r="H514" s="607"/>
      <c r="I514" s="606"/>
      <c r="J514" s="606"/>
      <c r="K514" s="606"/>
      <c r="L514" s="606"/>
      <c r="M514" s="606"/>
      <c r="N514" s="608"/>
      <c r="O514" s="608"/>
      <c r="P514" s="608"/>
      <c r="Q514" s="608"/>
    </row>
    <row r="515" spans="2:17" ht="27.75" customHeight="1" x14ac:dyDescent="0.25">
      <c r="B515" s="606"/>
      <c r="C515" s="606"/>
      <c r="D515" s="606"/>
      <c r="E515" s="606"/>
      <c r="F515" s="606"/>
      <c r="G515" s="606"/>
      <c r="H515" s="607"/>
      <c r="I515" s="606"/>
      <c r="J515" s="606"/>
      <c r="K515" s="606"/>
      <c r="L515" s="606"/>
      <c r="M515" s="606"/>
      <c r="N515" s="608"/>
      <c r="O515" s="608"/>
      <c r="P515" s="608"/>
      <c r="Q515" s="608"/>
    </row>
    <row r="516" spans="2:17" ht="27.75" customHeight="1" x14ac:dyDescent="0.25">
      <c r="B516" s="606"/>
      <c r="C516" s="606"/>
      <c r="D516" s="606"/>
      <c r="E516" s="606"/>
      <c r="F516" s="606"/>
      <c r="G516" s="606"/>
      <c r="H516" s="607"/>
      <c r="I516" s="606"/>
      <c r="J516" s="606"/>
      <c r="K516" s="606"/>
      <c r="L516" s="606"/>
      <c r="M516" s="606"/>
      <c r="N516" s="608"/>
      <c r="O516" s="608"/>
      <c r="P516" s="608"/>
      <c r="Q516" s="608"/>
    </row>
    <row r="517" spans="2:17" ht="27.75" customHeight="1" x14ac:dyDescent="0.25">
      <c r="B517" s="606"/>
      <c r="C517" s="606"/>
      <c r="D517" s="606"/>
      <c r="E517" s="606"/>
      <c r="F517" s="606"/>
      <c r="G517" s="606"/>
      <c r="H517" s="607"/>
      <c r="I517" s="606"/>
      <c r="J517" s="606"/>
      <c r="K517" s="606"/>
      <c r="L517" s="606"/>
      <c r="M517" s="606"/>
      <c r="N517" s="608"/>
      <c r="O517" s="608"/>
      <c r="P517" s="608"/>
      <c r="Q517" s="608"/>
    </row>
    <row r="518" spans="2:17" ht="27.75" customHeight="1" x14ac:dyDescent="0.25">
      <c r="B518" s="606"/>
      <c r="C518" s="606"/>
      <c r="D518" s="606"/>
      <c r="E518" s="606"/>
      <c r="F518" s="606"/>
      <c r="G518" s="606"/>
      <c r="H518" s="607"/>
      <c r="I518" s="606"/>
      <c r="J518" s="606"/>
      <c r="K518" s="606"/>
      <c r="L518" s="606"/>
      <c r="M518" s="606"/>
      <c r="N518" s="608"/>
      <c r="O518" s="608"/>
      <c r="P518" s="608"/>
      <c r="Q518" s="608"/>
    </row>
    <row r="519" spans="2:17" ht="27.75" customHeight="1" x14ac:dyDescent="0.25">
      <c r="B519" s="606"/>
      <c r="C519" s="606"/>
      <c r="D519" s="606"/>
      <c r="E519" s="606"/>
      <c r="F519" s="606"/>
      <c r="G519" s="606"/>
      <c r="H519" s="607"/>
      <c r="I519" s="606"/>
      <c r="J519" s="606"/>
      <c r="K519" s="606"/>
      <c r="L519" s="606"/>
      <c r="M519" s="606"/>
      <c r="N519" s="608"/>
      <c r="O519" s="608"/>
      <c r="P519" s="608"/>
      <c r="Q519" s="608"/>
    </row>
    <row r="520" spans="2:17" ht="27.75" customHeight="1" x14ac:dyDescent="0.25">
      <c r="B520" s="606"/>
      <c r="C520" s="606"/>
      <c r="D520" s="606"/>
      <c r="E520" s="606"/>
      <c r="F520" s="606"/>
      <c r="G520" s="606"/>
      <c r="H520" s="607"/>
      <c r="I520" s="606"/>
      <c r="J520" s="606"/>
      <c r="K520" s="606"/>
      <c r="L520" s="606"/>
      <c r="M520" s="606"/>
      <c r="N520" s="608"/>
      <c r="O520" s="608"/>
      <c r="P520" s="608"/>
      <c r="Q520" s="608"/>
    </row>
    <row r="521" spans="2:17" ht="27.75" customHeight="1" x14ac:dyDescent="0.25">
      <c r="B521" s="606"/>
      <c r="C521" s="606"/>
      <c r="D521" s="606"/>
      <c r="E521" s="606"/>
      <c r="F521" s="606"/>
      <c r="G521" s="606"/>
      <c r="H521" s="607"/>
      <c r="I521" s="606"/>
      <c r="J521" s="606"/>
      <c r="K521" s="606"/>
      <c r="L521" s="606"/>
      <c r="M521" s="606"/>
      <c r="N521" s="608"/>
      <c r="O521" s="608"/>
      <c r="P521" s="608"/>
      <c r="Q521" s="608"/>
    </row>
    <row r="522" spans="2:17" ht="27.75" customHeight="1" x14ac:dyDescent="0.25">
      <c r="B522" s="606"/>
      <c r="C522" s="606"/>
      <c r="D522" s="606"/>
      <c r="E522" s="606"/>
      <c r="F522" s="606"/>
      <c r="G522" s="606"/>
      <c r="H522" s="607"/>
      <c r="I522" s="606"/>
      <c r="J522" s="606"/>
      <c r="K522" s="606"/>
      <c r="L522" s="606"/>
      <c r="M522" s="606"/>
      <c r="N522" s="608"/>
      <c r="O522" s="608"/>
      <c r="P522" s="608"/>
      <c r="Q522" s="608"/>
    </row>
    <row r="523" spans="2:17" ht="27.75" customHeight="1" x14ac:dyDescent="0.25">
      <c r="B523" s="606"/>
      <c r="C523" s="606"/>
      <c r="D523" s="606"/>
      <c r="E523" s="606"/>
      <c r="F523" s="606"/>
      <c r="G523" s="606"/>
      <c r="H523" s="607"/>
      <c r="I523" s="606"/>
      <c r="J523" s="606"/>
      <c r="K523" s="606"/>
      <c r="L523" s="606"/>
      <c r="M523" s="606"/>
      <c r="N523" s="608"/>
      <c r="O523" s="608"/>
      <c r="P523" s="608"/>
      <c r="Q523" s="608"/>
    </row>
    <row r="524" spans="2:17" ht="27.75" customHeight="1" x14ac:dyDescent="0.25">
      <c r="B524" s="606"/>
      <c r="C524" s="606"/>
      <c r="D524" s="606"/>
      <c r="E524" s="606"/>
      <c r="F524" s="606"/>
      <c r="G524" s="606"/>
      <c r="H524" s="607"/>
      <c r="I524" s="606"/>
      <c r="J524" s="606"/>
      <c r="K524" s="606"/>
      <c r="L524" s="606"/>
      <c r="M524" s="606"/>
      <c r="N524" s="608"/>
      <c r="O524" s="608"/>
      <c r="P524" s="608"/>
      <c r="Q524" s="608"/>
    </row>
    <row r="525" spans="2:17" ht="27.75" customHeight="1" x14ac:dyDescent="0.25">
      <c r="B525" s="606"/>
      <c r="C525" s="606"/>
      <c r="D525" s="606"/>
      <c r="E525" s="606"/>
      <c r="F525" s="606"/>
      <c r="G525" s="606"/>
      <c r="H525" s="607"/>
      <c r="I525" s="606"/>
      <c r="J525" s="606"/>
      <c r="K525" s="606"/>
      <c r="L525" s="606"/>
      <c r="M525" s="606"/>
      <c r="N525" s="608"/>
      <c r="O525" s="608"/>
      <c r="P525" s="608"/>
      <c r="Q525" s="608"/>
    </row>
    <row r="526" spans="2:17" ht="27.75" customHeight="1" x14ac:dyDescent="0.25">
      <c r="B526" s="606"/>
      <c r="C526" s="606"/>
      <c r="D526" s="606"/>
      <c r="E526" s="606"/>
      <c r="F526" s="606"/>
      <c r="G526" s="606"/>
      <c r="H526" s="607"/>
      <c r="I526" s="606"/>
      <c r="J526" s="606"/>
      <c r="K526" s="606"/>
      <c r="L526" s="606"/>
      <c r="M526" s="606"/>
      <c r="N526" s="608"/>
      <c r="O526" s="608"/>
      <c r="P526" s="608"/>
      <c r="Q526" s="608"/>
    </row>
    <row r="527" spans="2:17" ht="27.75" customHeight="1" x14ac:dyDescent="0.25">
      <c r="B527" s="606"/>
      <c r="C527" s="606"/>
      <c r="D527" s="606"/>
      <c r="E527" s="606"/>
      <c r="F527" s="606"/>
      <c r="G527" s="606"/>
      <c r="H527" s="607"/>
      <c r="I527" s="606"/>
      <c r="J527" s="606"/>
      <c r="K527" s="606"/>
      <c r="L527" s="606"/>
      <c r="M527" s="606"/>
      <c r="N527" s="608"/>
      <c r="O527" s="608"/>
      <c r="P527" s="608"/>
      <c r="Q527" s="608"/>
    </row>
    <row r="528" spans="2:17" ht="27.75" customHeight="1" x14ac:dyDescent="0.25">
      <c r="B528" s="606"/>
      <c r="C528" s="606"/>
      <c r="D528" s="606"/>
      <c r="E528" s="606"/>
      <c r="F528" s="606"/>
      <c r="G528" s="606"/>
      <c r="H528" s="607"/>
      <c r="I528" s="606"/>
      <c r="J528" s="606"/>
      <c r="K528" s="606"/>
      <c r="L528" s="606"/>
      <c r="M528" s="606"/>
      <c r="N528" s="608"/>
      <c r="O528" s="608"/>
      <c r="P528" s="608"/>
      <c r="Q528" s="608"/>
    </row>
    <row r="529" spans="2:17" ht="27.75" customHeight="1" x14ac:dyDescent="0.25">
      <c r="B529" s="606"/>
      <c r="C529" s="606"/>
      <c r="D529" s="606"/>
      <c r="E529" s="606"/>
      <c r="F529" s="606"/>
      <c r="G529" s="606"/>
      <c r="H529" s="607"/>
      <c r="I529" s="606"/>
      <c r="J529" s="606"/>
      <c r="K529" s="606"/>
      <c r="L529" s="606"/>
      <c r="M529" s="606"/>
      <c r="N529" s="608"/>
      <c r="O529" s="608"/>
      <c r="P529" s="608"/>
      <c r="Q529" s="608"/>
    </row>
    <row r="530" spans="2:17" ht="27.75" customHeight="1" x14ac:dyDescent="0.25">
      <c r="B530" s="606"/>
      <c r="C530" s="606"/>
      <c r="D530" s="606"/>
      <c r="E530" s="606"/>
      <c r="F530" s="606"/>
      <c r="G530" s="606"/>
      <c r="H530" s="607"/>
      <c r="I530" s="606"/>
      <c r="J530" s="606"/>
      <c r="K530" s="606"/>
      <c r="L530" s="606"/>
      <c r="M530" s="606"/>
      <c r="N530" s="608"/>
      <c r="O530" s="608"/>
      <c r="P530" s="608"/>
      <c r="Q530" s="608"/>
    </row>
    <row r="531" spans="2:17" ht="27.75" customHeight="1" x14ac:dyDescent="0.25">
      <c r="B531" s="606"/>
      <c r="C531" s="606"/>
      <c r="D531" s="606"/>
      <c r="E531" s="606"/>
      <c r="F531" s="606"/>
      <c r="G531" s="606"/>
      <c r="H531" s="607"/>
      <c r="I531" s="606"/>
      <c r="J531" s="606"/>
      <c r="K531" s="606"/>
      <c r="L531" s="606"/>
      <c r="M531" s="606"/>
      <c r="N531" s="608"/>
      <c r="O531" s="608"/>
      <c r="P531" s="608"/>
      <c r="Q531" s="608"/>
    </row>
    <row r="532" spans="2:17" ht="27.75" customHeight="1" x14ac:dyDescent="0.25">
      <c r="B532" s="606"/>
      <c r="C532" s="606"/>
      <c r="D532" s="606"/>
      <c r="E532" s="606"/>
      <c r="F532" s="606"/>
      <c r="G532" s="606"/>
      <c r="H532" s="607"/>
      <c r="I532" s="606"/>
      <c r="J532" s="606"/>
      <c r="K532" s="606"/>
      <c r="L532" s="606"/>
      <c r="M532" s="606"/>
      <c r="N532" s="608"/>
      <c r="O532" s="608"/>
      <c r="P532" s="608"/>
      <c r="Q532" s="608"/>
    </row>
    <row r="533" spans="2:17" ht="27.75" customHeight="1" x14ac:dyDescent="0.25">
      <c r="B533" s="606"/>
      <c r="C533" s="606"/>
      <c r="D533" s="606"/>
      <c r="E533" s="606"/>
      <c r="F533" s="606"/>
      <c r="G533" s="606"/>
      <c r="H533" s="607"/>
      <c r="I533" s="606"/>
      <c r="J533" s="606"/>
      <c r="K533" s="606"/>
      <c r="L533" s="606"/>
      <c r="M533" s="606"/>
      <c r="N533" s="608"/>
      <c r="O533" s="608"/>
      <c r="P533" s="608"/>
      <c r="Q533" s="608"/>
    </row>
    <row r="534" spans="2:17" ht="27.75" customHeight="1" x14ac:dyDescent="0.25">
      <c r="B534" s="606"/>
      <c r="C534" s="606"/>
      <c r="D534" s="606"/>
      <c r="E534" s="606"/>
      <c r="F534" s="606"/>
      <c r="G534" s="606"/>
      <c r="H534" s="607"/>
      <c r="I534" s="606"/>
      <c r="J534" s="606"/>
      <c r="K534" s="606"/>
      <c r="L534" s="606"/>
      <c r="M534" s="606"/>
      <c r="N534" s="608"/>
      <c r="O534" s="608"/>
      <c r="P534" s="608"/>
      <c r="Q534" s="608"/>
    </row>
    <row r="535" spans="2:17" ht="27.75" customHeight="1" x14ac:dyDescent="0.25">
      <c r="B535" s="606"/>
      <c r="C535" s="606"/>
      <c r="D535" s="606"/>
      <c r="E535" s="606"/>
      <c r="F535" s="606"/>
      <c r="G535" s="606"/>
      <c r="H535" s="607"/>
      <c r="I535" s="606"/>
      <c r="J535" s="606"/>
      <c r="K535" s="606"/>
      <c r="L535" s="606"/>
      <c r="M535" s="606"/>
      <c r="N535" s="608"/>
      <c r="O535" s="608"/>
      <c r="P535" s="608"/>
      <c r="Q535" s="608"/>
    </row>
    <row r="536" spans="2:17" ht="27.75" customHeight="1" x14ac:dyDescent="0.25">
      <c r="B536" s="606"/>
      <c r="C536" s="606"/>
      <c r="D536" s="606"/>
      <c r="E536" s="606"/>
      <c r="F536" s="606"/>
      <c r="G536" s="606"/>
      <c r="H536" s="607"/>
      <c r="I536" s="606"/>
      <c r="J536" s="606"/>
      <c r="K536" s="606"/>
      <c r="L536" s="606"/>
      <c r="M536" s="606"/>
      <c r="N536" s="608"/>
      <c r="O536" s="608"/>
      <c r="P536" s="608"/>
      <c r="Q536" s="608"/>
    </row>
    <row r="537" spans="2:17" ht="27.75" customHeight="1" x14ac:dyDescent="0.25">
      <c r="B537" s="606"/>
      <c r="C537" s="606"/>
      <c r="D537" s="606"/>
      <c r="E537" s="606"/>
      <c r="F537" s="606"/>
      <c r="G537" s="606"/>
      <c r="H537" s="607"/>
      <c r="I537" s="606"/>
      <c r="J537" s="606"/>
      <c r="K537" s="606"/>
      <c r="L537" s="606"/>
      <c r="M537" s="606"/>
      <c r="N537" s="608"/>
      <c r="O537" s="608"/>
      <c r="P537" s="608"/>
      <c r="Q537" s="608"/>
    </row>
    <row r="538" spans="2:17" ht="27.75" customHeight="1" x14ac:dyDescent="0.25">
      <c r="B538" s="606"/>
      <c r="C538" s="606"/>
      <c r="D538" s="606"/>
      <c r="E538" s="606"/>
      <c r="F538" s="606"/>
      <c r="G538" s="606"/>
      <c r="H538" s="607"/>
      <c r="I538" s="606"/>
      <c r="J538" s="606"/>
      <c r="K538" s="606"/>
      <c r="L538" s="606"/>
      <c r="M538" s="606"/>
      <c r="N538" s="608"/>
      <c r="O538" s="608"/>
      <c r="P538" s="608"/>
      <c r="Q538" s="608"/>
    </row>
    <row r="539" spans="2:17" ht="27.75" customHeight="1" x14ac:dyDescent="0.25">
      <c r="B539" s="606"/>
      <c r="C539" s="606"/>
      <c r="D539" s="606"/>
      <c r="E539" s="606"/>
      <c r="F539" s="606"/>
      <c r="G539" s="606"/>
      <c r="H539" s="607"/>
      <c r="I539" s="606"/>
      <c r="J539" s="606"/>
      <c r="K539" s="606"/>
      <c r="L539" s="606"/>
      <c r="M539" s="606"/>
      <c r="N539" s="608"/>
      <c r="O539" s="608"/>
      <c r="P539" s="608"/>
      <c r="Q539" s="608"/>
    </row>
    <row r="540" spans="2:17" ht="27.75" customHeight="1" x14ac:dyDescent="0.25">
      <c r="B540" s="606"/>
      <c r="C540" s="606"/>
      <c r="D540" s="606"/>
      <c r="E540" s="606"/>
      <c r="F540" s="606"/>
      <c r="G540" s="606"/>
      <c r="H540" s="607"/>
      <c r="I540" s="606"/>
      <c r="J540" s="606"/>
      <c r="K540" s="606"/>
      <c r="L540" s="606"/>
      <c r="M540" s="606"/>
      <c r="N540" s="608"/>
      <c r="O540" s="608"/>
      <c r="P540" s="608"/>
      <c r="Q540" s="608"/>
    </row>
    <row r="541" spans="2:17" ht="27.75" customHeight="1" x14ac:dyDescent="0.25">
      <c r="B541" s="606"/>
      <c r="C541" s="606"/>
      <c r="D541" s="606"/>
      <c r="E541" s="606"/>
      <c r="F541" s="606"/>
      <c r="G541" s="606"/>
      <c r="H541" s="607"/>
      <c r="I541" s="606"/>
      <c r="J541" s="606"/>
      <c r="K541" s="606"/>
      <c r="L541" s="606"/>
      <c r="M541" s="606"/>
      <c r="N541" s="608"/>
      <c r="O541" s="608"/>
      <c r="P541" s="608"/>
      <c r="Q541" s="608"/>
    </row>
    <row r="542" spans="2:17" ht="27.75" customHeight="1" x14ac:dyDescent="0.25">
      <c r="B542" s="606"/>
      <c r="C542" s="606"/>
      <c r="D542" s="606"/>
      <c r="E542" s="606"/>
      <c r="F542" s="606"/>
      <c r="G542" s="606"/>
      <c r="H542" s="607"/>
      <c r="I542" s="606"/>
      <c r="J542" s="606"/>
      <c r="K542" s="606"/>
      <c r="L542" s="606"/>
      <c r="M542" s="606"/>
      <c r="N542" s="608"/>
      <c r="O542" s="608"/>
      <c r="P542" s="608"/>
      <c r="Q542" s="608"/>
    </row>
    <row r="543" spans="2:17" ht="27.75" customHeight="1" x14ac:dyDescent="0.25">
      <c r="B543" s="606"/>
      <c r="C543" s="606"/>
      <c r="D543" s="606"/>
      <c r="E543" s="606"/>
      <c r="F543" s="606"/>
      <c r="G543" s="606"/>
      <c r="H543" s="607"/>
      <c r="I543" s="606"/>
      <c r="J543" s="606"/>
      <c r="K543" s="606"/>
      <c r="L543" s="606"/>
      <c r="M543" s="606"/>
      <c r="N543" s="608"/>
      <c r="O543" s="608"/>
      <c r="P543" s="608"/>
      <c r="Q543" s="608"/>
    </row>
    <row r="544" spans="2:17" ht="27.75" customHeight="1" x14ac:dyDescent="0.25">
      <c r="B544" s="606"/>
      <c r="C544" s="606"/>
      <c r="D544" s="606"/>
      <c r="E544" s="606"/>
      <c r="F544" s="606"/>
      <c r="G544" s="606"/>
      <c r="H544" s="607"/>
      <c r="I544" s="606"/>
      <c r="J544" s="606"/>
      <c r="K544" s="606"/>
      <c r="L544" s="606"/>
      <c r="M544" s="606"/>
      <c r="N544" s="608"/>
      <c r="O544" s="608"/>
      <c r="P544" s="608"/>
      <c r="Q544" s="608"/>
    </row>
    <row r="545" spans="2:17" ht="27.75" customHeight="1" x14ac:dyDescent="0.25">
      <c r="B545" s="606"/>
      <c r="C545" s="606"/>
      <c r="D545" s="606"/>
      <c r="E545" s="606"/>
      <c r="F545" s="606"/>
      <c r="G545" s="606"/>
      <c r="H545" s="607"/>
      <c r="I545" s="606"/>
      <c r="J545" s="606"/>
      <c r="K545" s="606"/>
      <c r="L545" s="606"/>
      <c r="M545" s="606"/>
      <c r="N545" s="608"/>
      <c r="O545" s="608"/>
      <c r="P545" s="608"/>
      <c r="Q545" s="608"/>
    </row>
    <row r="546" spans="2:17" ht="27.75" customHeight="1" x14ac:dyDescent="0.25">
      <c r="B546" s="606"/>
      <c r="C546" s="606"/>
      <c r="D546" s="606"/>
      <c r="E546" s="606"/>
      <c r="F546" s="606"/>
      <c r="G546" s="606"/>
      <c r="H546" s="607"/>
      <c r="I546" s="606"/>
      <c r="J546" s="606"/>
      <c r="K546" s="606"/>
      <c r="L546" s="606"/>
      <c r="M546" s="606"/>
      <c r="N546" s="608"/>
      <c r="O546" s="608"/>
      <c r="P546" s="608"/>
      <c r="Q546" s="608"/>
    </row>
    <row r="547" spans="2:17" ht="27.75" customHeight="1" x14ac:dyDescent="0.25">
      <c r="B547" s="606"/>
      <c r="C547" s="606"/>
      <c r="D547" s="606"/>
      <c r="E547" s="606"/>
      <c r="F547" s="606"/>
      <c r="G547" s="606"/>
      <c r="H547" s="607"/>
      <c r="I547" s="606"/>
      <c r="J547" s="606"/>
      <c r="K547" s="606"/>
      <c r="L547" s="606"/>
      <c r="M547" s="606"/>
      <c r="N547" s="608"/>
      <c r="O547" s="608"/>
      <c r="P547" s="608"/>
      <c r="Q547" s="608"/>
    </row>
    <row r="548" spans="2:17" ht="27.75" customHeight="1" x14ac:dyDescent="0.25">
      <c r="B548" s="606"/>
      <c r="C548" s="606"/>
      <c r="D548" s="606"/>
      <c r="E548" s="606"/>
      <c r="F548" s="606"/>
      <c r="G548" s="606"/>
      <c r="H548" s="607"/>
      <c r="I548" s="606"/>
      <c r="J548" s="606"/>
      <c r="K548" s="606"/>
      <c r="L548" s="606"/>
      <c r="M548" s="606"/>
      <c r="N548" s="608"/>
      <c r="O548" s="608"/>
      <c r="P548" s="608"/>
      <c r="Q548" s="608"/>
    </row>
    <row r="549" spans="2:17" ht="27.75" customHeight="1" x14ac:dyDescent="0.25">
      <c r="B549" s="606"/>
      <c r="C549" s="606"/>
      <c r="D549" s="606"/>
      <c r="E549" s="606"/>
      <c r="F549" s="606"/>
      <c r="G549" s="606"/>
      <c r="H549" s="607"/>
      <c r="I549" s="606"/>
      <c r="J549" s="606"/>
      <c r="K549" s="606"/>
      <c r="L549" s="606"/>
      <c r="M549" s="606"/>
      <c r="N549" s="608"/>
      <c r="O549" s="608"/>
      <c r="P549" s="608"/>
      <c r="Q549" s="608"/>
    </row>
    <row r="550" spans="2:17" ht="27.75" customHeight="1" x14ac:dyDescent="0.25">
      <c r="B550" s="606"/>
      <c r="C550" s="606"/>
      <c r="D550" s="606"/>
      <c r="E550" s="606"/>
      <c r="F550" s="606"/>
      <c r="G550" s="606"/>
      <c r="H550" s="607"/>
      <c r="I550" s="606"/>
      <c r="J550" s="606"/>
      <c r="K550" s="606"/>
      <c r="L550" s="606"/>
      <c r="M550" s="606"/>
      <c r="N550" s="608"/>
      <c r="O550" s="608"/>
      <c r="P550" s="608"/>
      <c r="Q550" s="608"/>
    </row>
    <row r="551" spans="2:17" ht="27.75" customHeight="1" x14ac:dyDescent="0.25">
      <c r="B551" s="606"/>
      <c r="C551" s="606"/>
      <c r="D551" s="606"/>
      <c r="E551" s="606"/>
      <c r="F551" s="606"/>
      <c r="G551" s="606"/>
      <c r="H551" s="607"/>
      <c r="I551" s="606"/>
      <c r="J551" s="606"/>
      <c r="K551" s="606"/>
      <c r="L551" s="606"/>
      <c r="M551" s="606"/>
      <c r="N551" s="608"/>
      <c r="O551" s="608"/>
      <c r="P551" s="608"/>
      <c r="Q551" s="608"/>
    </row>
    <row r="552" spans="2:17" ht="27.75" customHeight="1" x14ac:dyDescent="0.25">
      <c r="B552" s="606"/>
      <c r="C552" s="606"/>
      <c r="D552" s="606"/>
      <c r="E552" s="606"/>
      <c r="F552" s="606"/>
      <c r="G552" s="606"/>
      <c r="H552" s="607"/>
      <c r="I552" s="606"/>
      <c r="J552" s="606"/>
      <c r="K552" s="606"/>
      <c r="L552" s="606"/>
      <c r="M552" s="606"/>
      <c r="N552" s="608"/>
      <c r="O552" s="608"/>
      <c r="P552" s="608"/>
      <c r="Q552" s="608"/>
    </row>
    <row r="553" spans="2:17" ht="27.75" customHeight="1" x14ac:dyDescent="0.25">
      <c r="B553" s="606"/>
      <c r="C553" s="606"/>
      <c r="D553" s="606"/>
      <c r="E553" s="606"/>
      <c r="F553" s="606"/>
      <c r="G553" s="606"/>
      <c r="H553" s="607"/>
      <c r="I553" s="606"/>
      <c r="J553" s="606"/>
      <c r="K553" s="606"/>
      <c r="L553" s="606"/>
      <c r="M553" s="606"/>
      <c r="N553" s="608"/>
      <c r="O553" s="608"/>
      <c r="P553" s="608"/>
      <c r="Q553" s="608"/>
    </row>
    <row r="554" spans="2:17" ht="27.75" customHeight="1" x14ac:dyDescent="0.25">
      <c r="B554" s="606"/>
      <c r="C554" s="606"/>
      <c r="D554" s="606"/>
      <c r="E554" s="606"/>
      <c r="F554" s="606"/>
      <c r="G554" s="606"/>
      <c r="H554" s="607"/>
      <c r="I554" s="606"/>
      <c r="J554" s="606"/>
      <c r="K554" s="606"/>
      <c r="L554" s="606"/>
      <c r="M554" s="606"/>
      <c r="N554" s="608"/>
      <c r="O554" s="608"/>
      <c r="P554" s="608"/>
      <c r="Q554" s="608"/>
    </row>
    <row r="555" spans="2:17" ht="27.75" customHeight="1" x14ac:dyDescent="0.25">
      <c r="B555" s="606"/>
      <c r="C555" s="606"/>
      <c r="D555" s="606"/>
      <c r="E555" s="606"/>
      <c r="F555" s="606"/>
      <c r="G555" s="606"/>
      <c r="H555" s="607"/>
      <c r="I555" s="606"/>
      <c r="J555" s="606"/>
      <c r="K555" s="606"/>
      <c r="L555" s="606"/>
      <c r="M555" s="606"/>
      <c r="N555" s="608"/>
      <c r="O555" s="608"/>
      <c r="P555" s="608"/>
      <c r="Q555" s="608"/>
    </row>
    <row r="556" spans="2:17" ht="27.75" customHeight="1" x14ac:dyDescent="0.25">
      <c r="B556" s="606"/>
      <c r="C556" s="606"/>
      <c r="D556" s="606"/>
      <c r="E556" s="606"/>
      <c r="F556" s="606"/>
      <c r="G556" s="606"/>
      <c r="H556" s="607"/>
      <c r="I556" s="606"/>
      <c r="J556" s="606"/>
      <c r="K556" s="606"/>
      <c r="L556" s="606"/>
      <c r="M556" s="606"/>
      <c r="N556" s="608"/>
      <c r="O556" s="608"/>
      <c r="P556" s="608"/>
      <c r="Q556" s="608"/>
    </row>
    <row r="557" spans="2:17" ht="27.75" customHeight="1" x14ac:dyDescent="0.25">
      <c r="B557" s="606"/>
      <c r="C557" s="606"/>
      <c r="D557" s="606"/>
      <c r="E557" s="606"/>
      <c r="F557" s="606"/>
      <c r="G557" s="606"/>
      <c r="H557" s="607"/>
      <c r="I557" s="606"/>
      <c r="J557" s="606"/>
      <c r="K557" s="606"/>
      <c r="L557" s="606"/>
      <c r="M557" s="606"/>
      <c r="N557" s="608"/>
      <c r="O557" s="608"/>
      <c r="P557" s="608"/>
      <c r="Q557" s="608"/>
    </row>
    <row r="558" spans="2:17" ht="27.75" customHeight="1" x14ac:dyDescent="0.25">
      <c r="B558" s="606"/>
      <c r="C558" s="606"/>
      <c r="D558" s="606"/>
      <c r="E558" s="606"/>
      <c r="F558" s="606"/>
      <c r="G558" s="606"/>
      <c r="H558" s="607"/>
      <c r="I558" s="606"/>
      <c r="J558" s="606"/>
      <c r="K558" s="606"/>
      <c r="L558" s="606"/>
      <c r="M558" s="606"/>
      <c r="N558" s="608"/>
      <c r="O558" s="608"/>
      <c r="P558" s="608"/>
      <c r="Q558" s="608"/>
    </row>
    <row r="559" spans="2:17" ht="27.75" customHeight="1" x14ac:dyDescent="0.25">
      <c r="B559" s="606"/>
      <c r="C559" s="606"/>
      <c r="D559" s="606"/>
      <c r="E559" s="606"/>
      <c r="F559" s="606"/>
      <c r="G559" s="606"/>
      <c r="H559" s="607"/>
      <c r="I559" s="606"/>
      <c r="J559" s="606"/>
      <c r="K559" s="606"/>
      <c r="L559" s="606"/>
      <c r="M559" s="606"/>
      <c r="N559" s="608"/>
      <c r="O559" s="608"/>
      <c r="P559" s="608"/>
      <c r="Q559" s="608"/>
    </row>
    <row r="560" spans="2:17" ht="27.75" customHeight="1" x14ac:dyDescent="0.25">
      <c r="B560" s="606"/>
      <c r="C560" s="606"/>
      <c r="D560" s="606"/>
      <c r="E560" s="606"/>
      <c r="F560" s="606"/>
      <c r="G560" s="606"/>
      <c r="H560" s="607"/>
      <c r="I560" s="606"/>
      <c r="J560" s="606"/>
      <c r="K560" s="606"/>
      <c r="L560" s="606"/>
      <c r="M560" s="606"/>
      <c r="N560" s="608"/>
      <c r="O560" s="608"/>
      <c r="P560" s="608"/>
      <c r="Q560" s="608"/>
    </row>
    <row r="561" spans="2:17" ht="27.75" customHeight="1" x14ac:dyDescent="0.25">
      <c r="B561" s="606"/>
      <c r="C561" s="606"/>
      <c r="D561" s="606"/>
      <c r="E561" s="606"/>
      <c r="F561" s="606"/>
      <c r="G561" s="606"/>
      <c r="H561" s="607"/>
      <c r="I561" s="606"/>
      <c r="J561" s="606"/>
      <c r="K561" s="606"/>
      <c r="L561" s="606"/>
      <c r="M561" s="606"/>
      <c r="N561" s="608"/>
      <c r="O561" s="608"/>
      <c r="P561" s="608"/>
      <c r="Q561" s="608"/>
    </row>
    <row r="562" spans="2:17" ht="27.75" customHeight="1" x14ac:dyDescent="0.25">
      <c r="B562" s="606"/>
      <c r="C562" s="606"/>
      <c r="D562" s="606"/>
      <c r="E562" s="606"/>
      <c r="F562" s="606"/>
      <c r="G562" s="606"/>
      <c r="H562" s="607"/>
      <c r="I562" s="606"/>
      <c r="J562" s="606"/>
      <c r="K562" s="606"/>
      <c r="L562" s="606"/>
      <c r="M562" s="606"/>
      <c r="N562" s="608"/>
      <c r="O562" s="608"/>
      <c r="P562" s="608"/>
      <c r="Q562" s="608"/>
    </row>
    <row r="563" spans="2:17" ht="27.75" customHeight="1" x14ac:dyDescent="0.25">
      <c r="B563" s="606"/>
      <c r="C563" s="606"/>
      <c r="D563" s="606"/>
      <c r="E563" s="606"/>
      <c r="F563" s="606"/>
      <c r="G563" s="606"/>
      <c r="H563" s="607"/>
      <c r="I563" s="606"/>
      <c r="J563" s="606"/>
      <c r="K563" s="606"/>
      <c r="L563" s="606"/>
      <c r="M563" s="606"/>
      <c r="N563" s="608"/>
      <c r="O563" s="608"/>
      <c r="P563" s="608"/>
      <c r="Q563" s="608"/>
    </row>
    <row r="564" spans="2:17" ht="27.75" customHeight="1" x14ac:dyDescent="0.25">
      <c r="B564" s="606"/>
      <c r="C564" s="606"/>
      <c r="D564" s="606"/>
      <c r="E564" s="606"/>
      <c r="F564" s="606"/>
      <c r="G564" s="606"/>
      <c r="H564" s="607"/>
      <c r="I564" s="606"/>
      <c r="J564" s="606"/>
      <c r="K564" s="606"/>
      <c r="L564" s="606"/>
      <c r="M564" s="606"/>
      <c r="N564" s="608"/>
      <c r="O564" s="608"/>
      <c r="P564" s="608"/>
      <c r="Q564" s="608"/>
    </row>
    <row r="565" spans="2:17" ht="27.75" customHeight="1" x14ac:dyDescent="0.25">
      <c r="B565" s="606"/>
      <c r="C565" s="606"/>
      <c r="D565" s="606"/>
      <c r="E565" s="606"/>
      <c r="F565" s="606"/>
      <c r="G565" s="606"/>
      <c r="H565" s="607"/>
      <c r="I565" s="606"/>
      <c r="J565" s="606"/>
      <c r="K565" s="606"/>
      <c r="L565" s="606"/>
      <c r="M565" s="606"/>
      <c r="N565" s="608"/>
      <c r="O565" s="608"/>
      <c r="P565" s="608"/>
      <c r="Q565" s="608"/>
    </row>
    <row r="566" spans="2:17" ht="27.75" customHeight="1" x14ac:dyDescent="0.25">
      <c r="B566" s="606"/>
      <c r="C566" s="606"/>
      <c r="D566" s="606"/>
      <c r="E566" s="606"/>
      <c r="F566" s="606"/>
      <c r="G566" s="606"/>
      <c r="H566" s="607"/>
      <c r="I566" s="606"/>
      <c r="J566" s="606"/>
      <c r="K566" s="606"/>
      <c r="L566" s="606"/>
      <c r="M566" s="606"/>
      <c r="N566" s="608"/>
      <c r="O566" s="608"/>
      <c r="P566" s="608"/>
      <c r="Q566" s="608"/>
    </row>
    <row r="567" spans="2:17" ht="27.75" customHeight="1" x14ac:dyDescent="0.25">
      <c r="B567" s="606"/>
      <c r="C567" s="606"/>
      <c r="D567" s="606"/>
      <c r="E567" s="606"/>
      <c r="F567" s="606"/>
      <c r="G567" s="606"/>
      <c r="H567" s="607"/>
      <c r="I567" s="606"/>
      <c r="J567" s="606"/>
      <c r="K567" s="606"/>
      <c r="L567" s="606"/>
      <c r="M567" s="606"/>
      <c r="N567" s="608"/>
      <c r="O567" s="608"/>
      <c r="P567" s="608"/>
      <c r="Q567" s="608"/>
    </row>
    <row r="568" spans="2:17" ht="27.75" customHeight="1" x14ac:dyDescent="0.25">
      <c r="B568" s="606"/>
      <c r="C568" s="606"/>
      <c r="D568" s="606"/>
      <c r="E568" s="606"/>
      <c r="F568" s="606"/>
      <c r="G568" s="606"/>
      <c r="H568" s="607"/>
      <c r="I568" s="606"/>
      <c r="J568" s="606"/>
      <c r="K568" s="606"/>
      <c r="L568" s="606"/>
      <c r="M568" s="606"/>
      <c r="N568" s="608"/>
      <c r="O568" s="608"/>
      <c r="P568" s="608"/>
      <c r="Q568" s="608"/>
    </row>
    <row r="569" spans="2:17" ht="27.75" customHeight="1" x14ac:dyDescent="0.25">
      <c r="B569" s="606"/>
      <c r="C569" s="606"/>
      <c r="D569" s="606"/>
      <c r="E569" s="606"/>
      <c r="F569" s="606"/>
      <c r="G569" s="606"/>
      <c r="H569" s="607"/>
      <c r="I569" s="606"/>
      <c r="J569" s="606"/>
      <c r="K569" s="606"/>
      <c r="L569" s="606"/>
      <c r="M569" s="606"/>
      <c r="N569" s="608"/>
      <c r="O569" s="608"/>
      <c r="P569" s="608"/>
      <c r="Q569" s="608"/>
    </row>
    <row r="570" spans="2:17" ht="27.75" customHeight="1" x14ac:dyDescent="0.25">
      <c r="B570" s="606"/>
      <c r="C570" s="606"/>
      <c r="D570" s="606"/>
      <c r="E570" s="606"/>
      <c r="F570" s="606"/>
      <c r="G570" s="606"/>
      <c r="H570" s="607"/>
      <c r="I570" s="606"/>
      <c r="J570" s="606"/>
      <c r="K570" s="606"/>
      <c r="L570" s="606"/>
      <c r="M570" s="606"/>
      <c r="N570" s="608"/>
      <c r="O570" s="608"/>
      <c r="P570" s="608"/>
      <c r="Q570" s="608"/>
    </row>
    <row r="571" spans="2:17" ht="27.75" customHeight="1" x14ac:dyDescent="0.25">
      <c r="B571" s="606"/>
      <c r="C571" s="606"/>
      <c r="D571" s="606"/>
      <c r="E571" s="606"/>
      <c r="F571" s="606"/>
      <c r="G571" s="606"/>
      <c r="H571" s="607"/>
      <c r="I571" s="606"/>
      <c r="J571" s="606"/>
      <c r="K571" s="606"/>
      <c r="L571" s="606"/>
      <c r="M571" s="606"/>
      <c r="N571" s="608"/>
      <c r="O571" s="608"/>
      <c r="P571" s="608"/>
      <c r="Q571" s="608"/>
    </row>
    <row r="572" spans="2:17" ht="27.75" customHeight="1" x14ac:dyDescent="0.25">
      <c r="B572" s="606"/>
      <c r="C572" s="606"/>
      <c r="D572" s="606"/>
      <c r="E572" s="606"/>
      <c r="F572" s="606"/>
      <c r="G572" s="606"/>
      <c r="H572" s="607"/>
      <c r="I572" s="606"/>
      <c r="J572" s="606"/>
      <c r="K572" s="606"/>
      <c r="L572" s="606"/>
      <c r="M572" s="606"/>
      <c r="N572" s="608"/>
      <c r="O572" s="608"/>
      <c r="P572" s="608"/>
      <c r="Q572" s="608"/>
    </row>
    <row r="573" spans="2:17" ht="27.75" customHeight="1" x14ac:dyDescent="0.25">
      <c r="B573" s="606"/>
      <c r="C573" s="606"/>
      <c r="D573" s="606"/>
      <c r="E573" s="606"/>
      <c r="F573" s="606"/>
      <c r="G573" s="606"/>
      <c r="H573" s="607"/>
      <c r="I573" s="606"/>
      <c r="J573" s="606"/>
      <c r="K573" s="606"/>
      <c r="L573" s="606"/>
      <c r="M573" s="606"/>
      <c r="N573" s="608"/>
      <c r="O573" s="608"/>
      <c r="P573" s="608"/>
      <c r="Q573" s="608"/>
    </row>
    <row r="574" spans="2:17" ht="27.75" customHeight="1" x14ac:dyDescent="0.25">
      <c r="B574" s="606"/>
      <c r="C574" s="606"/>
      <c r="D574" s="606"/>
      <c r="E574" s="606"/>
      <c r="F574" s="606"/>
      <c r="G574" s="606"/>
      <c r="H574" s="607"/>
      <c r="I574" s="606"/>
      <c r="J574" s="606"/>
      <c r="K574" s="606"/>
      <c r="L574" s="606"/>
      <c r="M574" s="606"/>
      <c r="N574" s="608"/>
      <c r="O574" s="608"/>
      <c r="P574" s="608"/>
      <c r="Q574" s="608"/>
    </row>
    <row r="575" spans="2:17" ht="27.75" customHeight="1" x14ac:dyDescent="0.25">
      <c r="B575" s="606"/>
      <c r="C575" s="606"/>
      <c r="D575" s="606"/>
      <c r="E575" s="606"/>
      <c r="F575" s="606"/>
      <c r="G575" s="606"/>
      <c r="H575" s="607"/>
      <c r="I575" s="606"/>
      <c r="J575" s="606"/>
      <c r="K575" s="606"/>
      <c r="L575" s="606"/>
      <c r="M575" s="606"/>
      <c r="N575" s="608"/>
      <c r="O575" s="608"/>
      <c r="P575" s="608"/>
      <c r="Q575" s="608"/>
    </row>
    <row r="576" spans="2:17" ht="27.75" customHeight="1" x14ac:dyDescent="0.25">
      <c r="B576" s="606"/>
      <c r="C576" s="606"/>
      <c r="D576" s="606"/>
      <c r="E576" s="606"/>
      <c r="F576" s="606"/>
      <c r="G576" s="606"/>
      <c r="H576" s="607"/>
      <c r="I576" s="606"/>
      <c r="J576" s="606"/>
      <c r="K576" s="606"/>
      <c r="L576" s="606"/>
      <c r="M576" s="606"/>
      <c r="N576" s="608"/>
      <c r="O576" s="608"/>
      <c r="P576" s="608"/>
      <c r="Q576" s="608"/>
    </row>
    <row r="577" spans="2:17" ht="27.75" customHeight="1" x14ac:dyDescent="0.25">
      <c r="B577" s="606"/>
      <c r="C577" s="606"/>
      <c r="D577" s="606"/>
      <c r="E577" s="606"/>
      <c r="F577" s="606"/>
      <c r="G577" s="606"/>
      <c r="H577" s="607"/>
      <c r="I577" s="606"/>
      <c r="J577" s="606"/>
      <c r="K577" s="606"/>
      <c r="L577" s="606"/>
      <c r="M577" s="606"/>
      <c r="N577" s="608"/>
      <c r="O577" s="608"/>
      <c r="P577" s="608"/>
      <c r="Q577" s="608"/>
    </row>
    <row r="578" spans="2:17" ht="27.75" customHeight="1" x14ac:dyDescent="0.25">
      <c r="B578" s="606"/>
      <c r="C578" s="606"/>
      <c r="D578" s="606"/>
      <c r="E578" s="606"/>
      <c r="F578" s="606"/>
      <c r="G578" s="606"/>
      <c r="H578" s="607"/>
      <c r="I578" s="606"/>
      <c r="J578" s="606"/>
      <c r="K578" s="606"/>
      <c r="L578" s="606"/>
      <c r="M578" s="606"/>
      <c r="N578" s="608"/>
      <c r="O578" s="608"/>
      <c r="P578" s="608"/>
      <c r="Q578" s="608"/>
    </row>
    <row r="579" spans="2:17" ht="27.75" customHeight="1" x14ac:dyDescent="0.25">
      <c r="B579" s="606"/>
      <c r="C579" s="606"/>
      <c r="D579" s="606"/>
      <c r="E579" s="606"/>
      <c r="F579" s="606"/>
      <c r="G579" s="606"/>
      <c r="H579" s="607"/>
      <c r="I579" s="606"/>
      <c r="J579" s="606"/>
      <c r="K579" s="606"/>
      <c r="L579" s="606"/>
      <c r="M579" s="606"/>
      <c r="N579" s="608"/>
      <c r="O579" s="608"/>
      <c r="P579" s="608"/>
      <c r="Q579" s="608"/>
    </row>
    <row r="580" spans="2:17" ht="27.75" customHeight="1" x14ac:dyDescent="0.25">
      <c r="B580" s="606"/>
      <c r="C580" s="606"/>
      <c r="D580" s="606"/>
      <c r="E580" s="606"/>
      <c r="F580" s="606"/>
      <c r="G580" s="606"/>
      <c r="H580" s="607"/>
      <c r="I580" s="606"/>
      <c r="J580" s="606"/>
      <c r="K580" s="606"/>
      <c r="L580" s="606"/>
      <c r="M580" s="606"/>
      <c r="N580" s="608"/>
      <c r="O580" s="608"/>
      <c r="P580" s="608"/>
      <c r="Q580" s="608"/>
    </row>
    <row r="581" spans="2:17" ht="27.75" customHeight="1" x14ac:dyDescent="0.25">
      <c r="B581" s="606"/>
      <c r="C581" s="606"/>
      <c r="D581" s="606"/>
      <c r="E581" s="606"/>
      <c r="F581" s="606"/>
      <c r="G581" s="606"/>
      <c r="H581" s="607"/>
      <c r="I581" s="606"/>
      <c r="J581" s="606"/>
      <c r="K581" s="606"/>
      <c r="L581" s="606"/>
      <c r="M581" s="606"/>
      <c r="N581" s="608"/>
      <c r="O581" s="608"/>
      <c r="P581" s="608"/>
      <c r="Q581" s="608"/>
    </row>
    <row r="582" spans="2:17" ht="27.75" customHeight="1" x14ac:dyDescent="0.25">
      <c r="B582" s="606"/>
      <c r="C582" s="606"/>
      <c r="D582" s="606"/>
      <c r="E582" s="606"/>
      <c r="F582" s="606"/>
      <c r="G582" s="606"/>
      <c r="H582" s="607"/>
      <c r="I582" s="606"/>
      <c r="J582" s="606"/>
      <c r="K582" s="606"/>
      <c r="L582" s="606"/>
      <c r="M582" s="606"/>
      <c r="N582" s="608"/>
      <c r="O582" s="608"/>
      <c r="P582" s="608"/>
      <c r="Q582" s="608"/>
    </row>
    <row r="583" spans="2:17" ht="27.75" customHeight="1" x14ac:dyDescent="0.25">
      <c r="B583" s="606"/>
      <c r="C583" s="606"/>
      <c r="D583" s="606"/>
      <c r="E583" s="606"/>
      <c r="F583" s="606"/>
      <c r="G583" s="606"/>
      <c r="H583" s="607"/>
      <c r="I583" s="606"/>
      <c r="J583" s="606"/>
      <c r="K583" s="606"/>
      <c r="L583" s="606"/>
      <c r="M583" s="606"/>
      <c r="N583" s="608"/>
      <c r="O583" s="608"/>
      <c r="P583" s="608"/>
      <c r="Q583" s="608"/>
    </row>
    <row r="584" spans="2:17" ht="27.75" customHeight="1" x14ac:dyDescent="0.25">
      <c r="B584" s="606"/>
      <c r="C584" s="606"/>
      <c r="D584" s="606"/>
      <c r="E584" s="606"/>
      <c r="F584" s="606"/>
      <c r="G584" s="606"/>
      <c r="H584" s="607"/>
      <c r="I584" s="606"/>
      <c r="J584" s="606"/>
      <c r="K584" s="606"/>
      <c r="L584" s="606"/>
      <c r="M584" s="606"/>
      <c r="N584" s="608"/>
      <c r="O584" s="608"/>
      <c r="P584" s="608"/>
      <c r="Q584" s="608"/>
    </row>
    <row r="585" spans="2:17" ht="27.75" customHeight="1" x14ac:dyDescent="0.25">
      <c r="B585" s="606"/>
      <c r="C585" s="606"/>
      <c r="D585" s="606"/>
      <c r="E585" s="606"/>
      <c r="F585" s="606"/>
      <c r="G585" s="606"/>
      <c r="H585" s="607"/>
      <c r="I585" s="606"/>
      <c r="J585" s="606"/>
      <c r="K585" s="606"/>
      <c r="L585" s="606"/>
      <c r="M585" s="606"/>
      <c r="N585" s="608"/>
      <c r="O585" s="608"/>
      <c r="P585" s="608"/>
      <c r="Q585" s="608"/>
    </row>
    <row r="586" spans="2:17" ht="27.75" customHeight="1" x14ac:dyDescent="0.25">
      <c r="B586" s="606"/>
      <c r="C586" s="606"/>
      <c r="D586" s="606"/>
      <c r="E586" s="606"/>
      <c r="F586" s="606"/>
      <c r="G586" s="606"/>
      <c r="H586" s="607"/>
      <c r="I586" s="606"/>
      <c r="J586" s="606"/>
      <c r="K586" s="606"/>
      <c r="L586" s="606"/>
      <c r="M586" s="606"/>
      <c r="N586" s="608"/>
      <c r="O586" s="608"/>
      <c r="P586" s="608"/>
      <c r="Q586" s="608"/>
    </row>
    <row r="587" spans="2:17" ht="27.75" customHeight="1" x14ac:dyDescent="0.25">
      <c r="B587" s="606"/>
      <c r="C587" s="606"/>
      <c r="D587" s="606"/>
      <c r="E587" s="606"/>
      <c r="F587" s="606"/>
      <c r="G587" s="606"/>
      <c r="H587" s="607"/>
      <c r="I587" s="606"/>
      <c r="J587" s="606"/>
      <c r="K587" s="606"/>
      <c r="L587" s="606"/>
      <c r="M587" s="606"/>
      <c r="N587" s="608"/>
      <c r="O587" s="608"/>
      <c r="P587" s="608"/>
      <c r="Q587" s="608"/>
    </row>
    <row r="588" spans="2:17" ht="27.75" customHeight="1" x14ac:dyDescent="0.25">
      <c r="B588" s="606"/>
      <c r="C588" s="606"/>
      <c r="D588" s="606"/>
      <c r="E588" s="606"/>
      <c r="F588" s="606"/>
      <c r="G588" s="606"/>
      <c r="H588" s="607"/>
      <c r="I588" s="606"/>
      <c r="J588" s="606"/>
      <c r="K588" s="606"/>
      <c r="L588" s="606"/>
      <c r="M588" s="606"/>
      <c r="N588" s="608"/>
      <c r="O588" s="608"/>
      <c r="P588" s="608"/>
      <c r="Q588" s="608"/>
    </row>
    <row r="589" spans="2:17" ht="27.75" customHeight="1" x14ac:dyDescent="0.25">
      <c r="B589" s="606"/>
      <c r="C589" s="606"/>
      <c r="D589" s="606"/>
      <c r="E589" s="606"/>
      <c r="F589" s="606"/>
      <c r="G589" s="606"/>
      <c r="H589" s="607"/>
      <c r="I589" s="606"/>
      <c r="J589" s="606"/>
      <c r="K589" s="606"/>
      <c r="L589" s="606"/>
      <c r="M589" s="606"/>
      <c r="N589" s="608"/>
      <c r="O589" s="608"/>
      <c r="P589" s="608"/>
      <c r="Q589" s="608"/>
    </row>
    <row r="590" spans="2:17" ht="27.75" customHeight="1" x14ac:dyDescent="0.25">
      <c r="B590" s="606"/>
      <c r="C590" s="606"/>
      <c r="D590" s="606"/>
      <c r="E590" s="606"/>
      <c r="F590" s="606"/>
      <c r="G590" s="606"/>
      <c r="H590" s="607"/>
      <c r="I590" s="606"/>
      <c r="J590" s="606"/>
      <c r="K590" s="606"/>
      <c r="L590" s="606"/>
      <c r="M590" s="606"/>
      <c r="N590" s="608"/>
      <c r="O590" s="608"/>
      <c r="P590" s="608"/>
      <c r="Q590" s="608"/>
    </row>
    <row r="591" spans="2:17" ht="27.75" customHeight="1" x14ac:dyDescent="0.25">
      <c r="B591" s="606"/>
      <c r="C591" s="606"/>
      <c r="D591" s="606"/>
      <c r="E591" s="606"/>
      <c r="F591" s="606"/>
      <c r="G591" s="606"/>
      <c r="H591" s="607"/>
      <c r="I591" s="606"/>
      <c r="J591" s="606"/>
      <c r="K591" s="606"/>
      <c r="L591" s="606"/>
      <c r="M591" s="606"/>
      <c r="N591" s="608"/>
      <c r="O591" s="608"/>
      <c r="P591" s="608"/>
      <c r="Q591" s="608"/>
    </row>
    <row r="592" spans="2:17" ht="27.75" customHeight="1" x14ac:dyDescent="0.25">
      <c r="B592" s="606"/>
      <c r="C592" s="606"/>
      <c r="D592" s="606"/>
      <c r="E592" s="606"/>
      <c r="F592" s="606"/>
      <c r="G592" s="606"/>
      <c r="H592" s="607"/>
      <c r="I592" s="606"/>
      <c r="J592" s="606"/>
      <c r="K592" s="606"/>
      <c r="L592" s="606"/>
      <c r="M592" s="606"/>
      <c r="N592" s="608"/>
      <c r="O592" s="608"/>
      <c r="P592" s="608"/>
      <c r="Q592" s="608"/>
    </row>
    <row r="593" spans="2:17" ht="27.75" customHeight="1" x14ac:dyDescent="0.25">
      <c r="B593" s="606"/>
      <c r="C593" s="606"/>
      <c r="D593" s="606"/>
      <c r="E593" s="606"/>
      <c r="F593" s="606"/>
      <c r="G593" s="606"/>
      <c r="H593" s="607"/>
      <c r="I593" s="606"/>
      <c r="J593" s="606"/>
      <c r="K593" s="606"/>
      <c r="L593" s="606"/>
      <c r="M593" s="606"/>
      <c r="N593" s="608"/>
      <c r="O593" s="608"/>
      <c r="P593" s="608"/>
      <c r="Q593" s="608"/>
    </row>
    <row r="594" spans="2:17" ht="27.75" customHeight="1" x14ac:dyDescent="0.25">
      <c r="B594" s="606"/>
      <c r="C594" s="606"/>
      <c r="D594" s="606"/>
      <c r="E594" s="606"/>
      <c r="F594" s="606"/>
      <c r="G594" s="606"/>
      <c r="H594" s="607"/>
      <c r="I594" s="606"/>
      <c r="J594" s="606"/>
      <c r="K594" s="606"/>
      <c r="L594" s="606"/>
      <c r="M594" s="606"/>
      <c r="N594" s="608"/>
      <c r="O594" s="608"/>
      <c r="P594" s="608"/>
      <c r="Q594" s="608"/>
    </row>
    <row r="595" spans="2:17" ht="27.75" customHeight="1" x14ac:dyDescent="0.25">
      <c r="B595" s="606"/>
      <c r="C595" s="606"/>
      <c r="D595" s="606"/>
      <c r="E595" s="606"/>
      <c r="F595" s="606"/>
      <c r="G595" s="606"/>
      <c r="H595" s="607"/>
      <c r="I595" s="606"/>
      <c r="J595" s="606"/>
      <c r="K595" s="606"/>
      <c r="L595" s="606"/>
      <c r="M595" s="606"/>
      <c r="N595" s="608"/>
      <c r="O595" s="608"/>
      <c r="P595" s="608"/>
      <c r="Q595" s="608"/>
    </row>
    <row r="596" spans="2:17" ht="27.75" customHeight="1" x14ac:dyDescent="0.25">
      <c r="B596" s="606"/>
      <c r="C596" s="606"/>
      <c r="D596" s="606"/>
      <c r="E596" s="606"/>
      <c r="F596" s="606"/>
      <c r="G596" s="606"/>
      <c r="H596" s="607"/>
      <c r="I596" s="606"/>
      <c r="J596" s="606"/>
      <c r="K596" s="606"/>
      <c r="L596" s="606"/>
      <c r="M596" s="606"/>
      <c r="N596" s="608"/>
      <c r="O596" s="608"/>
      <c r="P596" s="608"/>
      <c r="Q596" s="608"/>
    </row>
    <row r="597" spans="2:17" ht="27.75" customHeight="1" x14ac:dyDescent="0.25">
      <c r="B597" s="606"/>
      <c r="C597" s="606"/>
      <c r="D597" s="606"/>
      <c r="E597" s="606"/>
      <c r="F597" s="606"/>
      <c r="G597" s="606"/>
      <c r="H597" s="607"/>
      <c r="I597" s="606"/>
      <c r="J597" s="606"/>
      <c r="K597" s="606"/>
      <c r="L597" s="606"/>
      <c r="M597" s="606"/>
      <c r="N597" s="608"/>
      <c r="O597" s="608"/>
      <c r="P597" s="608"/>
      <c r="Q597" s="608"/>
    </row>
    <row r="598" spans="2:17" ht="27.75" customHeight="1" x14ac:dyDescent="0.25">
      <c r="B598" s="606"/>
      <c r="C598" s="606"/>
      <c r="D598" s="606"/>
      <c r="E598" s="606"/>
      <c r="F598" s="606"/>
      <c r="G598" s="606"/>
      <c r="H598" s="607"/>
      <c r="I598" s="606"/>
      <c r="J598" s="606"/>
      <c r="K598" s="606"/>
      <c r="L598" s="606"/>
      <c r="M598" s="606"/>
      <c r="N598" s="608"/>
      <c r="O598" s="608"/>
      <c r="P598" s="608"/>
      <c r="Q598" s="608"/>
    </row>
    <row r="599" spans="2:17" ht="27.75" customHeight="1" x14ac:dyDescent="0.25">
      <c r="B599" s="606"/>
      <c r="C599" s="606"/>
      <c r="D599" s="606"/>
      <c r="E599" s="606"/>
      <c r="F599" s="606"/>
      <c r="G599" s="606"/>
      <c r="H599" s="607"/>
      <c r="I599" s="606"/>
      <c r="J599" s="606"/>
      <c r="K599" s="606"/>
      <c r="L599" s="606"/>
      <c r="M599" s="606"/>
      <c r="N599" s="608"/>
      <c r="O599" s="608"/>
      <c r="P599" s="608"/>
      <c r="Q599" s="608"/>
    </row>
    <row r="600" spans="2:17" ht="27.75" customHeight="1" x14ac:dyDescent="0.25">
      <c r="B600" s="606"/>
      <c r="C600" s="606"/>
      <c r="D600" s="606"/>
      <c r="E600" s="606"/>
      <c r="F600" s="606"/>
      <c r="G600" s="606"/>
      <c r="H600" s="607"/>
      <c r="I600" s="606"/>
      <c r="J600" s="606"/>
      <c r="K600" s="606"/>
      <c r="L600" s="606"/>
      <c r="M600" s="606"/>
      <c r="N600" s="608"/>
      <c r="O600" s="608"/>
      <c r="P600" s="608"/>
      <c r="Q600" s="608"/>
    </row>
    <row r="601" spans="2:17" ht="27.75" customHeight="1" x14ac:dyDescent="0.25">
      <c r="B601" s="606"/>
      <c r="C601" s="606"/>
      <c r="D601" s="606"/>
      <c r="E601" s="606"/>
      <c r="F601" s="606"/>
      <c r="G601" s="606"/>
      <c r="H601" s="607"/>
      <c r="I601" s="606"/>
      <c r="J601" s="606"/>
      <c r="K601" s="606"/>
      <c r="L601" s="606"/>
      <c r="M601" s="606"/>
      <c r="N601" s="608"/>
      <c r="O601" s="608"/>
      <c r="P601" s="608"/>
      <c r="Q601" s="608"/>
    </row>
    <row r="602" spans="2:17" ht="27.75" customHeight="1" x14ac:dyDescent="0.25">
      <c r="B602" s="606"/>
      <c r="C602" s="606"/>
      <c r="D602" s="606"/>
      <c r="E602" s="606"/>
      <c r="F602" s="606"/>
      <c r="G602" s="606"/>
      <c r="H602" s="607"/>
      <c r="I602" s="606"/>
      <c r="J602" s="606"/>
      <c r="K602" s="606"/>
      <c r="L602" s="606"/>
      <c r="M602" s="606"/>
      <c r="N602" s="608"/>
      <c r="O602" s="608"/>
      <c r="P602" s="608"/>
      <c r="Q602" s="608"/>
    </row>
    <row r="603" spans="2:17" ht="27.75" customHeight="1" x14ac:dyDescent="0.25">
      <c r="B603" s="606"/>
      <c r="C603" s="606"/>
      <c r="D603" s="606"/>
      <c r="E603" s="606"/>
      <c r="F603" s="606"/>
      <c r="G603" s="606"/>
      <c r="H603" s="607"/>
      <c r="I603" s="606"/>
      <c r="J603" s="606"/>
      <c r="K603" s="606"/>
      <c r="L603" s="606"/>
      <c r="M603" s="606"/>
      <c r="N603" s="608"/>
      <c r="O603" s="608"/>
      <c r="P603" s="608"/>
      <c r="Q603" s="608"/>
    </row>
    <row r="604" spans="2:17" ht="27.75" customHeight="1" x14ac:dyDescent="0.25">
      <c r="B604" s="606"/>
      <c r="C604" s="606"/>
      <c r="D604" s="606"/>
      <c r="E604" s="606"/>
      <c r="F604" s="606"/>
      <c r="G604" s="606"/>
      <c r="H604" s="607"/>
      <c r="I604" s="606"/>
      <c r="J604" s="606"/>
      <c r="K604" s="606"/>
      <c r="L604" s="606"/>
      <c r="M604" s="606"/>
      <c r="N604" s="608"/>
      <c r="O604" s="608"/>
      <c r="P604" s="608"/>
      <c r="Q604" s="608"/>
    </row>
    <row r="605" spans="2:17" ht="27.75" customHeight="1" x14ac:dyDescent="0.25">
      <c r="B605" s="606"/>
      <c r="C605" s="606"/>
      <c r="D605" s="606"/>
      <c r="E605" s="606"/>
      <c r="F605" s="606"/>
      <c r="G605" s="606"/>
      <c r="H605" s="607"/>
      <c r="I605" s="606"/>
      <c r="J605" s="606"/>
      <c r="K605" s="606"/>
      <c r="L605" s="606"/>
      <c r="M605" s="606"/>
      <c r="N605" s="608"/>
      <c r="O605" s="608"/>
      <c r="P605" s="608"/>
      <c r="Q605" s="608"/>
    </row>
    <row r="606" spans="2:17" ht="27.75" customHeight="1" x14ac:dyDescent="0.25">
      <c r="B606" s="606"/>
      <c r="C606" s="606"/>
      <c r="D606" s="606"/>
      <c r="E606" s="606"/>
      <c r="F606" s="606"/>
      <c r="G606" s="606"/>
      <c r="H606" s="607"/>
      <c r="I606" s="606"/>
      <c r="J606" s="606"/>
      <c r="K606" s="606"/>
      <c r="L606" s="606"/>
      <c r="M606" s="606"/>
      <c r="N606" s="608"/>
      <c r="O606" s="608"/>
      <c r="P606" s="608"/>
      <c r="Q606" s="608"/>
    </row>
    <row r="607" spans="2:17" ht="27.75" customHeight="1" x14ac:dyDescent="0.25">
      <c r="B607" s="606"/>
      <c r="C607" s="606"/>
      <c r="D607" s="606"/>
      <c r="E607" s="606"/>
      <c r="F607" s="606"/>
      <c r="G607" s="606"/>
      <c r="H607" s="607"/>
      <c r="I607" s="606"/>
      <c r="J607" s="606"/>
      <c r="K607" s="606"/>
      <c r="L607" s="606"/>
      <c r="M607" s="606"/>
      <c r="N607" s="608"/>
      <c r="O607" s="608"/>
      <c r="P607" s="608"/>
      <c r="Q607" s="608"/>
    </row>
    <row r="608" spans="2:17" ht="27.75" customHeight="1" x14ac:dyDescent="0.25">
      <c r="B608" s="606"/>
      <c r="C608" s="606"/>
      <c r="D608" s="606"/>
      <c r="E608" s="606"/>
      <c r="F608" s="606"/>
      <c r="G608" s="606"/>
      <c r="H608" s="607"/>
      <c r="I608" s="606"/>
      <c r="J608" s="606"/>
      <c r="K608" s="606"/>
      <c r="L608" s="606"/>
      <c r="M608" s="606"/>
      <c r="N608" s="608"/>
      <c r="O608" s="608"/>
      <c r="P608" s="608"/>
      <c r="Q608" s="608"/>
    </row>
    <row r="609" spans="2:17" ht="27.75" customHeight="1" x14ac:dyDescent="0.25">
      <c r="B609" s="606"/>
      <c r="C609" s="606"/>
      <c r="D609" s="606"/>
      <c r="E609" s="606"/>
      <c r="F609" s="606"/>
      <c r="G609" s="606"/>
      <c r="H609" s="607"/>
      <c r="I609" s="606"/>
      <c r="J609" s="606"/>
      <c r="K609" s="606"/>
      <c r="L609" s="606"/>
      <c r="M609" s="606"/>
      <c r="N609" s="608"/>
      <c r="O609" s="608"/>
      <c r="P609" s="608"/>
      <c r="Q609" s="608"/>
    </row>
    <row r="610" spans="2:17" ht="27.75" customHeight="1" x14ac:dyDescent="0.25">
      <c r="B610" s="606"/>
      <c r="C610" s="606"/>
      <c r="D610" s="606"/>
      <c r="E610" s="606"/>
      <c r="F610" s="606"/>
      <c r="G610" s="606"/>
      <c r="H610" s="607"/>
      <c r="I610" s="606"/>
      <c r="J610" s="606"/>
      <c r="K610" s="606"/>
      <c r="L610" s="606"/>
      <c r="M610" s="606"/>
      <c r="N610" s="608"/>
      <c r="O610" s="608"/>
      <c r="P610" s="608"/>
      <c r="Q610" s="608"/>
    </row>
    <row r="611" spans="2:17" ht="27.75" customHeight="1" x14ac:dyDescent="0.25">
      <c r="B611" s="606"/>
      <c r="C611" s="606"/>
      <c r="D611" s="606"/>
      <c r="E611" s="606"/>
      <c r="F611" s="606"/>
      <c r="G611" s="606"/>
      <c r="H611" s="607"/>
      <c r="I611" s="606"/>
      <c r="J611" s="606"/>
      <c r="K611" s="606"/>
      <c r="L611" s="606"/>
      <c r="M611" s="606"/>
      <c r="N611" s="608"/>
      <c r="O611" s="608"/>
      <c r="P611" s="608"/>
      <c r="Q611" s="608"/>
    </row>
    <row r="612" spans="2:17" ht="27.75" customHeight="1" x14ac:dyDescent="0.25">
      <c r="B612" s="606"/>
      <c r="C612" s="606"/>
      <c r="D612" s="606"/>
      <c r="E612" s="606"/>
      <c r="F612" s="606"/>
      <c r="G612" s="606"/>
      <c r="H612" s="607"/>
      <c r="I612" s="606"/>
      <c r="J612" s="606"/>
      <c r="K612" s="606"/>
      <c r="L612" s="606"/>
      <c r="M612" s="606"/>
      <c r="N612" s="608"/>
      <c r="O612" s="608"/>
      <c r="P612" s="608"/>
      <c r="Q612" s="608"/>
    </row>
    <row r="613" spans="2:17" ht="27.75" customHeight="1" x14ac:dyDescent="0.25">
      <c r="B613" s="606"/>
      <c r="C613" s="606"/>
      <c r="D613" s="606"/>
      <c r="E613" s="606"/>
      <c r="F613" s="606"/>
      <c r="G613" s="606"/>
      <c r="H613" s="607"/>
      <c r="I613" s="606"/>
      <c r="J613" s="606"/>
      <c r="K613" s="606"/>
      <c r="L613" s="606"/>
      <c r="M613" s="606"/>
      <c r="N613" s="608"/>
      <c r="O613" s="608"/>
      <c r="P613" s="608"/>
      <c r="Q613" s="608"/>
    </row>
    <row r="614" spans="2:17" ht="27.75" customHeight="1" x14ac:dyDescent="0.25">
      <c r="B614" s="606"/>
      <c r="C614" s="606"/>
      <c r="D614" s="606"/>
      <c r="E614" s="606"/>
      <c r="F614" s="606"/>
      <c r="G614" s="606"/>
      <c r="H614" s="607"/>
      <c r="I614" s="606"/>
      <c r="J614" s="606"/>
      <c r="K614" s="606"/>
      <c r="L614" s="606"/>
      <c r="M614" s="606"/>
      <c r="N614" s="608"/>
      <c r="O614" s="608"/>
      <c r="P614" s="608"/>
      <c r="Q614" s="608"/>
    </row>
    <row r="615" spans="2:17" ht="27.75" customHeight="1" x14ac:dyDescent="0.25">
      <c r="B615" s="606"/>
      <c r="C615" s="606"/>
      <c r="D615" s="606"/>
      <c r="E615" s="606"/>
      <c r="F615" s="606"/>
      <c r="G615" s="606"/>
      <c r="H615" s="607"/>
      <c r="I615" s="606"/>
      <c r="J615" s="606"/>
      <c r="K615" s="606"/>
      <c r="L615" s="606"/>
      <c r="M615" s="606"/>
      <c r="N615" s="608"/>
      <c r="O615" s="608"/>
      <c r="P615" s="608"/>
      <c r="Q615" s="608"/>
    </row>
    <row r="616" spans="2:17" ht="27.75" customHeight="1" x14ac:dyDescent="0.25">
      <c r="B616" s="606"/>
      <c r="C616" s="606"/>
      <c r="D616" s="606"/>
      <c r="E616" s="606"/>
      <c r="F616" s="606"/>
      <c r="G616" s="606"/>
      <c r="H616" s="607"/>
      <c r="I616" s="606"/>
      <c r="J616" s="606"/>
      <c r="K616" s="606"/>
      <c r="L616" s="606"/>
      <c r="M616" s="606"/>
      <c r="N616" s="608"/>
      <c r="O616" s="608"/>
      <c r="P616" s="608"/>
      <c r="Q616" s="608"/>
    </row>
    <row r="617" spans="2:17" ht="27.75" customHeight="1" x14ac:dyDescent="0.25">
      <c r="B617" s="606"/>
      <c r="C617" s="606"/>
      <c r="D617" s="606"/>
      <c r="E617" s="606"/>
      <c r="F617" s="606"/>
      <c r="G617" s="606"/>
      <c r="H617" s="607"/>
      <c r="I617" s="606"/>
      <c r="J617" s="606"/>
      <c r="K617" s="606"/>
      <c r="L617" s="606"/>
      <c r="M617" s="606"/>
      <c r="N617" s="608"/>
      <c r="O617" s="608"/>
      <c r="P617" s="608"/>
      <c r="Q617" s="608"/>
    </row>
    <row r="618" spans="2:17" ht="27.75" customHeight="1" x14ac:dyDescent="0.25">
      <c r="B618" s="606"/>
      <c r="C618" s="606"/>
      <c r="D618" s="606"/>
      <c r="E618" s="606"/>
      <c r="F618" s="606"/>
      <c r="G618" s="606"/>
      <c r="H618" s="607"/>
      <c r="I618" s="606"/>
      <c r="J618" s="606"/>
      <c r="K618" s="606"/>
      <c r="L618" s="606"/>
      <c r="M618" s="606"/>
      <c r="N618" s="608"/>
      <c r="O618" s="608"/>
      <c r="P618" s="608"/>
      <c r="Q618" s="608"/>
    </row>
    <row r="619" spans="2:17" ht="27.75" customHeight="1" x14ac:dyDescent="0.25">
      <c r="B619" s="606"/>
      <c r="C619" s="606"/>
      <c r="D619" s="606"/>
      <c r="E619" s="606"/>
      <c r="F619" s="606"/>
      <c r="G619" s="606"/>
      <c r="H619" s="607"/>
      <c r="I619" s="606"/>
      <c r="J619" s="606"/>
      <c r="K619" s="606"/>
      <c r="L619" s="606"/>
      <c r="M619" s="606"/>
      <c r="N619" s="608"/>
      <c r="O619" s="608"/>
      <c r="P619" s="608"/>
      <c r="Q619" s="608"/>
    </row>
    <row r="620" spans="2:17" ht="27.75" customHeight="1" x14ac:dyDescent="0.25">
      <c r="B620" s="606"/>
      <c r="C620" s="606"/>
      <c r="D620" s="606"/>
      <c r="E620" s="606"/>
      <c r="F620" s="606"/>
      <c r="G620" s="606"/>
      <c r="H620" s="607"/>
      <c r="I620" s="606"/>
      <c r="J620" s="606"/>
      <c r="K620" s="606"/>
      <c r="L620" s="606"/>
      <c r="M620" s="606"/>
      <c r="N620" s="608"/>
      <c r="O620" s="608"/>
      <c r="P620" s="608"/>
      <c r="Q620" s="608"/>
    </row>
    <row r="621" spans="2:17" ht="27.75" customHeight="1" x14ac:dyDescent="0.25">
      <c r="B621" s="606"/>
      <c r="C621" s="606"/>
      <c r="D621" s="606"/>
      <c r="E621" s="606"/>
      <c r="F621" s="606"/>
      <c r="G621" s="606"/>
      <c r="H621" s="607"/>
      <c r="I621" s="606"/>
      <c r="J621" s="606"/>
      <c r="K621" s="606"/>
      <c r="L621" s="606"/>
      <c r="M621" s="606"/>
      <c r="N621" s="608"/>
      <c r="O621" s="608"/>
      <c r="P621" s="608"/>
      <c r="Q621" s="608"/>
    </row>
    <row r="622" spans="2:17" ht="27.75" customHeight="1" x14ac:dyDescent="0.25">
      <c r="B622" s="606"/>
      <c r="C622" s="606"/>
      <c r="D622" s="606"/>
      <c r="E622" s="606"/>
      <c r="F622" s="606"/>
      <c r="G622" s="606"/>
      <c r="H622" s="607"/>
      <c r="I622" s="606"/>
      <c r="J622" s="606"/>
      <c r="K622" s="606"/>
      <c r="L622" s="606"/>
      <c r="M622" s="606"/>
      <c r="N622" s="608"/>
      <c r="O622" s="608"/>
      <c r="P622" s="608"/>
      <c r="Q622" s="608"/>
    </row>
    <row r="623" spans="2:17" ht="27.75" customHeight="1" x14ac:dyDescent="0.25">
      <c r="B623" s="606"/>
      <c r="C623" s="606"/>
      <c r="D623" s="606"/>
      <c r="E623" s="606"/>
      <c r="F623" s="606"/>
      <c r="G623" s="606"/>
      <c r="H623" s="607"/>
      <c r="I623" s="606"/>
      <c r="J623" s="606"/>
      <c r="K623" s="606"/>
      <c r="L623" s="606"/>
      <c r="M623" s="606"/>
      <c r="N623" s="608"/>
      <c r="O623" s="608"/>
      <c r="P623" s="608"/>
      <c r="Q623" s="608"/>
    </row>
    <row r="624" spans="2:17" ht="27.75" customHeight="1" x14ac:dyDescent="0.25">
      <c r="B624" s="606"/>
      <c r="C624" s="606"/>
      <c r="D624" s="606"/>
      <c r="E624" s="606"/>
      <c r="F624" s="606"/>
      <c r="G624" s="606"/>
      <c r="H624" s="607"/>
      <c r="I624" s="606"/>
      <c r="J624" s="606"/>
      <c r="K624" s="606"/>
      <c r="L624" s="606"/>
      <c r="M624" s="606"/>
      <c r="N624" s="608"/>
      <c r="O624" s="608"/>
      <c r="P624" s="608"/>
      <c r="Q624" s="608"/>
    </row>
    <row r="625" spans="2:17" ht="27.75" customHeight="1" x14ac:dyDescent="0.25">
      <c r="B625" s="606"/>
      <c r="C625" s="606"/>
      <c r="D625" s="606"/>
      <c r="E625" s="606"/>
      <c r="F625" s="606"/>
      <c r="G625" s="606"/>
      <c r="H625" s="607"/>
      <c r="I625" s="606"/>
      <c r="J625" s="606"/>
      <c r="K625" s="606"/>
      <c r="L625" s="606"/>
      <c r="M625" s="606"/>
      <c r="N625" s="608"/>
      <c r="O625" s="608"/>
      <c r="P625" s="608"/>
      <c r="Q625" s="608"/>
    </row>
    <row r="626" spans="2:17" ht="27.75" customHeight="1" x14ac:dyDescent="0.25">
      <c r="B626" s="606"/>
      <c r="C626" s="606"/>
      <c r="D626" s="606"/>
      <c r="E626" s="606"/>
      <c r="F626" s="606"/>
      <c r="G626" s="606"/>
      <c r="H626" s="607"/>
      <c r="I626" s="606"/>
      <c r="J626" s="606"/>
      <c r="K626" s="606"/>
      <c r="L626" s="606"/>
      <c r="M626" s="606"/>
      <c r="N626" s="608"/>
      <c r="O626" s="608"/>
      <c r="P626" s="608"/>
      <c r="Q626" s="608"/>
    </row>
    <row r="627" spans="2:17" ht="27.75" customHeight="1" x14ac:dyDescent="0.25">
      <c r="B627" s="606"/>
      <c r="C627" s="606"/>
      <c r="D627" s="606"/>
      <c r="E627" s="606"/>
      <c r="F627" s="606"/>
      <c r="G627" s="606"/>
      <c r="H627" s="607"/>
      <c r="I627" s="606"/>
      <c r="J627" s="606"/>
      <c r="K627" s="606"/>
      <c r="L627" s="606"/>
      <c r="M627" s="606"/>
      <c r="N627" s="608"/>
      <c r="O627" s="608"/>
      <c r="P627" s="608"/>
      <c r="Q627" s="608"/>
    </row>
    <row r="628" spans="2:17" ht="27.75" customHeight="1" x14ac:dyDescent="0.25">
      <c r="B628" s="606"/>
      <c r="C628" s="606"/>
      <c r="D628" s="606"/>
      <c r="E628" s="606"/>
      <c r="F628" s="606"/>
      <c r="G628" s="606"/>
      <c r="H628" s="607"/>
      <c r="I628" s="606"/>
      <c r="J628" s="606"/>
      <c r="K628" s="606"/>
      <c r="L628" s="606"/>
      <c r="M628" s="606"/>
      <c r="N628" s="608"/>
      <c r="O628" s="608"/>
      <c r="P628" s="608"/>
      <c r="Q628" s="608"/>
    </row>
    <row r="629" spans="2:17" ht="27.75" customHeight="1" x14ac:dyDescent="0.25">
      <c r="B629" s="606"/>
      <c r="C629" s="606"/>
      <c r="D629" s="606"/>
      <c r="E629" s="606"/>
      <c r="F629" s="606"/>
      <c r="G629" s="606"/>
      <c r="H629" s="607"/>
      <c r="I629" s="606"/>
      <c r="J629" s="606"/>
      <c r="K629" s="606"/>
      <c r="L629" s="606"/>
      <c r="M629" s="606"/>
      <c r="N629" s="608"/>
      <c r="O629" s="608"/>
      <c r="P629" s="608"/>
      <c r="Q629" s="608"/>
    </row>
    <row r="630" spans="2:17" ht="27.75" customHeight="1" x14ac:dyDescent="0.25">
      <c r="B630" s="606"/>
      <c r="C630" s="606"/>
      <c r="D630" s="606"/>
      <c r="E630" s="606"/>
      <c r="F630" s="606"/>
      <c r="G630" s="606"/>
      <c r="H630" s="607"/>
      <c r="I630" s="606"/>
      <c r="J630" s="606"/>
      <c r="K630" s="606"/>
      <c r="L630" s="606"/>
      <c r="M630" s="606"/>
      <c r="N630" s="608"/>
      <c r="O630" s="608"/>
      <c r="P630" s="608"/>
      <c r="Q630" s="608"/>
    </row>
    <row r="631" spans="2:17" ht="27.75" customHeight="1" x14ac:dyDescent="0.25">
      <c r="B631" s="606"/>
      <c r="C631" s="606"/>
      <c r="D631" s="606"/>
      <c r="E631" s="606"/>
      <c r="F631" s="606"/>
      <c r="G631" s="606"/>
      <c r="H631" s="607"/>
      <c r="I631" s="606"/>
      <c r="J631" s="606"/>
      <c r="K631" s="606"/>
      <c r="L631" s="606"/>
      <c r="M631" s="606"/>
      <c r="N631" s="608"/>
      <c r="O631" s="608"/>
      <c r="P631" s="608"/>
      <c r="Q631" s="608"/>
    </row>
    <row r="632" spans="2:17" ht="27.75" customHeight="1" x14ac:dyDescent="0.25">
      <c r="B632" s="606"/>
      <c r="C632" s="606"/>
      <c r="D632" s="606"/>
      <c r="E632" s="606"/>
      <c r="F632" s="606"/>
      <c r="G632" s="606"/>
      <c r="H632" s="607"/>
      <c r="I632" s="606"/>
      <c r="J632" s="606"/>
      <c r="K632" s="606"/>
      <c r="L632" s="606"/>
      <c r="M632" s="606"/>
      <c r="N632" s="608"/>
      <c r="O632" s="608"/>
      <c r="P632" s="608"/>
      <c r="Q632" s="608"/>
    </row>
    <row r="633" spans="2:17" ht="27.75" customHeight="1" x14ac:dyDescent="0.25">
      <c r="B633" s="606"/>
      <c r="C633" s="606"/>
      <c r="D633" s="606"/>
      <c r="E633" s="606"/>
      <c r="F633" s="606"/>
      <c r="G633" s="606"/>
      <c r="H633" s="607"/>
      <c r="I633" s="606"/>
      <c r="J633" s="606"/>
      <c r="K633" s="606"/>
      <c r="L633" s="606"/>
      <c r="M633" s="606"/>
      <c r="N633" s="608"/>
      <c r="O633" s="608"/>
      <c r="P633" s="608"/>
      <c r="Q633" s="608"/>
    </row>
    <row r="634" spans="2:17" ht="27.75" customHeight="1" x14ac:dyDescent="0.25">
      <c r="B634" s="606"/>
      <c r="C634" s="606"/>
      <c r="D634" s="606"/>
      <c r="E634" s="606"/>
      <c r="F634" s="606"/>
      <c r="G634" s="606"/>
      <c r="H634" s="607"/>
      <c r="I634" s="606"/>
      <c r="J634" s="606"/>
      <c r="K634" s="606"/>
      <c r="L634" s="606"/>
      <c r="M634" s="606"/>
      <c r="N634" s="608"/>
      <c r="O634" s="608"/>
      <c r="P634" s="608"/>
      <c r="Q634" s="608"/>
    </row>
    <row r="635" spans="2:17" ht="27.75" customHeight="1" x14ac:dyDescent="0.25">
      <c r="B635" s="606"/>
      <c r="C635" s="606"/>
      <c r="D635" s="606"/>
      <c r="E635" s="606"/>
      <c r="F635" s="606"/>
      <c r="G635" s="606"/>
      <c r="H635" s="607"/>
      <c r="I635" s="606"/>
      <c r="J635" s="606"/>
      <c r="K635" s="606"/>
      <c r="L635" s="606"/>
      <c r="M635" s="606"/>
      <c r="N635" s="608"/>
      <c r="O635" s="608"/>
      <c r="P635" s="608"/>
      <c r="Q635" s="608"/>
    </row>
    <row r="636" spans="2:17" ht="27.75" customHeight="1" x14ac:dyDescent="0.25">
      <c r="B636" s="606"/>
      <c r="C636" s="606"/>
      <c r="D636" s="606"/>
      <c r="E636" s="606"/>
      <c r="F636" s="606"/>
      <c r="G636" s="606"/>
      <c r="H636" s="607"/>
      <c r="I636" s="606"/>
      <c r="J636" s="606"/>
      <c r="K636" s="606"/>
      <c r="L636" s="606"/>
      <c r="M636" s="606"/>
      <c r="N636" s="608"/>
      <c r="O636" s="608"/>
      <c r="P636" s="608"/>
      <c r="Q636" s="608"/>
    </row>
    <row r="637" spans="2:17" ht="27.75" customHeight="1" x14ac:dyDescent="0.25">
      <c r="B637" s="606"/>
      <c r="C637" s="606"/>
      <c r="D637" s="606"/>
      <c r="E637" s="606"/>
      <c r="F637" s="606"/>
      <c r="G637" s="606"/>
      <c r="H637" s="607"/>
      <c r="I637" s="606"/>
      <c r="J637" s="606"/>
      <c r="K637" s="606"/>
      <c r="L637" s="606"/>
      <c r="M637" s="606"/>
      <c r="N637" s="608"/>
      <c r="O637" s="608"/>
      <c r="P637" s="608"/>
      <c r="Q637" s="608"/>
    </row>
    <row r="638" spans="2:17" ht="27.75" customHeight="1" x14ac:dyDescent="0.25">
      <c r="B638" s="606"/>
      <c r="C638" s="606"/>
      <c r="D638" s="606"/>
      <c r="E638" s="606"/>
      <c r="F638" s="606"/>
      <c r="G638" s="606"/>
      <c r="H638" s="607"/>
      <c r="I638" s="606"/>
      <c r="J638" s="606"/>
      <c r="K638" s="606"/>
      <c r="L638" s="606"/>
      <c r="M638" s="606"/>
      <c r="N638" s="608"/>
      <c r="O638" s="608"/>
      <c r="P638" s="608"/>
      <c r="Q638" s="608"/>
    </row>
    <row r="639" spans="2:17" ht="27.75" customHeight="1" x14ac:dyDescent="0.25">
      <c r="B639" s="606"/>
      <c r="C639" s="606"/>
      <c r="D639" s="606"/>
      <c r="E639" s="606"/>
      <c r="F639" s="606"/>
      <c r="G639" s="606"/>
      <c r="H639" s="607"/>
      <c r="I639" s="606"/>
      <c r="J639" s="606"/>
      <c r="K639" s="606"/>
      <c r="L639" s="606"/>
      <c r="M639" s="606"/>
      <c r="N639" s="608"/>
      <c r="O639" s="608"/>
      <c r="P639" s="608"/>
      <c r="Q639" s="608"/>
    </row>
    <row r="640" spans="2:17" ht="27.75" customHeight="1" x14ac:dyDescent="0.25">
      <c r="B640" s="606"/>
      <c r="C640" s="606"/>
      <c r="D640" s="606"/>
      <c r="E640" s="606"/>
      <c r="F640" s="606"/>
      <c r="G640" s="606"/>
      <c r="H640" s="607"/>
      <c r="I640" s="606"/>
      <c r="J640" s="606"/>
      <c r="K640" s="606"/>
      <c r="L640" s="606"/>
      <c r="M640" s="606"/>
      <c r="N640" s="608"/>
      <c r="O640" s="608"/>
      <c r="P640" s="608"/>
      <c r="Q640" s="608"/>
    </row>
    <row r="641" spans="2:17" ht="27.75" customHeight="1" x14ac:dyDescent="0.25">
      <c r="B641" s="606"/>
      <c r="C641" s="606"/>
      <c r="D641" s="606"/>
      <c r="E641" s="606"/>
      <c r="F641" s="606"/>
      <c r="G641" s="606"/>
      <c r="H641" s="607"/>
      <c r="I641" s="606"/>
      <c r="J641" s="606"/>
      <c r="K641" s="606"/>
      <c r="L641" s="606"/>
      <c r="M641" s="606"/>
      <c r="N641" s="608"/>
      <c r="O641" s="608"/>
      <c r="P641" s="608"/>
      <c r="Q641" s="608"/>
    </row>
    <row r="642" spans="2:17" ht="27.75" customHeight="1" x14ac:dyDescent="0.25">
      <c r="B642" s="606"/>
      <c r="C642" s="606"/>
      <c r="D642" s="606"/>
      <c r="E642" s="606"/>
      <c r="F642" s="606"/>
      <c r="G642" s="606"/>
      <c r="H642" s="607"/>
      <c r="I642" s="606"/>
      <c r="J642" s="606"/>
      <c r="K642" s="606"/>
      <c r="L642" s="606"/>
      <c r="M642" s="606"/>
      <c r="N642" s="608"/>
      <c r="O642" s="608"/>
      <c r="P642" s="608"/>
      <c r="Q642" s="608"/>
    </row>
    <row r="643" spans="2:17" ht="27.75" customHeight="1" x14ac:dyDescent="0.25">
      <c r="B643" s="606"/>
      <c r="C643" s="606"/>
      <c r="D643" s="606"/>
      <c r="E643" s="606"/>
      <c r="F643" s="606"/>
      <c r="G643" s="606"/>
      <c r="H643" s="607"/>
      <c r="I643" s="606"/>
      <c r="J643" s="606"/>
      <c r="K643" s="606"/>
      <c r="L643" s="606"/>
      <c r="M643" s="606"/>
      <c r="N643" s="608"/>
      <c r="O643" s="608"/>
      <c r="P643" s="608"/>
      <c r="Q643" s="608"/>
    </row>
    <row r="644" spans="2:17" ht="27.75" customHeight="1" x14ac:dyDescent="0.25">
      <c r="B644" s="606"/>
      <c r="C644" s="606"/>
      <c r="D644" s="606"/>
      <c r="E644" s="606"/>
      <c r="F644" s="606"/>
      <c r="G644" s="606"/>
      <c r="H644" s="607"/>
      <c r="I644" s="606"/>
      <c r="J644" s="606"/>
      <c r="K644" s="606"/>
      <c r="L644" s="606"/>
      <c r="M644" s="606"/>
      <c r="N644" s="608"/>
      <c r="O644" s="608"/>
      <c r="P644" s="608"/>
      <c r="Q644" s="608"/>
    </row>
    <row r="645" spans="2:17" ht="27.75" customHeight="1" x14ac:dyDescent="0.25">
      <c r="B645" s="606"/>
      <c r="C645" s="606"/>
      <c r="D645" s="606"/>
      <c r="E645" s="606"/>
      <c r="F645" s="606"/>
      <c r="G645" s="606"/>
      <c r="H645" s="607"/>
      <c r="I645" s="606"/>
      <c r="J645" s="606"/>
      <c r="K645" s="606"/>
      <c r="L645" s="606"/>
      <c r="M645" s="606"/>
      <c r="N645" s="608"/>
      <c r="O645" s="608"/>
      <c r="P645" s="608"/>
      <c r="Q645" s="608"/>
    </row>
    <row r="646" spans="2:17" ht="27.75" customHeight="1" x14ac:dyDescent="0.25">
      <c r="B646" s="606"/>
      <c r="C646" s="606"/>
      <c r="D646" s="606"/>
      <c r="E646" s="606"/>
      <c r="F646" s="606"/>
      <c r="G646" s="606"/>
      <c r="H646" s="607"/>
      <c r="I646" s="606"/>
      <c r="J646" s="606"/>
      <c r="K646" s="606"/>
      <c r="L646" s="606"/>
      <c r="M646" s="606"/>
      <c r="N646" s="608"/>
      <c r="O646" s="608"/>
      <c r="P646" s="608"/>
      <c r="Q646" s="608"/>
    </row>
    <row r="647" spans="2:17" ht="27.75" customHeight="1" x14ac:dyDescent="0.25">
      <c r="B647" s="606"/>
      <c r="C647" s="606"/>
      <c r="D647" s="606"/>
      <c r="E647" s="606"/>
      <c r="F647" s="606"/>
      <c r="G647" s="606"/>
      <c r="H647" s="607"/>
      <c r="I647" s="606"/>
      <c r="J647" s="606"/>
      <c r="K647" s="606"/>
      <c r="L647" s="606"/>
      <c r="M647" s="606"/>
      <c r="N647" s="608"/>
      <c r="O647" s="608"/>
      <c r="P647" s="608"/>
      <c r="Q647" s="608"/>
    </row>
    <row r="648" spans="2:17" ht="27.75" customHeight="1" x14ac:dyDescent="0.25">
      <c r="B648" s="606"/>
      <c r="C648" s="606"/>
      <c r="D648" s="606"/>
      <c r="E648" s="606"/>
      <c r="F648" s="606"/>
      <c r="G648" s="606"/>
      <c r="H648" s="607"/>
      <c r="I648" s="606"/>
      <c r="J648" s="606"/>
      <c r="K648" s="606"/>
      <c r="L648" s="606"/>
      <c r="M648" s="606"/>
      <c r="N648" s="608"/>
      <c r="O648" s="608"/>
      <c r="P648" s="608"/>
      <c r="Q648" s="608"/>
    </row>
    <row r="649" spans="2:17" ht="27.75" customHeight="1" x14ac:dyDescent="0.25">
      <c r="B649" s="606"/>
      <c r="C649" s="606"/>
      <c r="D649" s="606"/>
      <c r="E649" s="606"/>
      <c r="F649" s="606"/>
      <c r="G649" s="606"/>
      <c r="H649" s="607"/>
      <c r="I649" s="606"/>
      <c r="J649" s="606"/>
      <c r="K649" s="606"/>
      <c r="L649" s="606"/>
      <c r="M649" s="606"/>
      <c r="N649" s="608"/>
      <c r="O649" s="608"/>
      <c r="P649" s="608"/>
      <c r="Q649" s="608"/>
    </row>
    <row r="650" spans="2:17" ht="27.75" customHeight="1" x14ac:dyDescent="0.25">
      <c r="B650" s="606"/>
      <c r="C650" s="606"/>
      <c r="D650" s="606"/>
      <c r="E650" s="606"/>
      <c r="F650" s="606"/>
      <c r="G650" s="606"/>
      <c r="H650" s="607"/>
      <c r="I650" s="606"/>
      <c r="J650" s="606"/>
      <c r="K650" s="606"/>
      <c r="L650" s="606"/>
      <c r="M650" s="606"/>
      <c r="N650" s="608"/>
      <c r="O650" s="608"/>
      <c r="P650" s="608"/>
      <c r="Q650" s="608"/>
    </row>
    <row r="651" spans="2:17" ht="27.75" customHeight="1" x14ac:dyDescent="0.25">
      <c r="B651" s="606"/>
      <c r="C651" s="606"/>
      <c r="D651" s="606"/>
      <c r="E651" s="606"/>
      <c r="F651" s="606"/>
      <c r="G651" s="606"/>
      <c r="H651" s="607"/>
      <c r="I651" s="606"/>
      <c r="J651" s="606"/>
      <c r="K651" s="606"/>
      <c r="L651" s="606"/>
      <c r="M651" s="606"/>
      <c r="N651" s="608"/>
      <c r="O651" s="608"/>
      <c r="P651" s="608"/>
      <c r="Q651" s="608"/>
    </row>
    <row r="652" spans="2:17" ht="27.75" customHeight="1" x14ac:dyDescent="0.25">
      <c r="B652" s="606"/>
      <c r="C652" s="606"/>
      <c r="D652" s="606"/>
      <c r="E652" s="606"/>
      <c r="F652" s="606"/>
      <c r="G652" s="606"/>
      <c r="H652" s="607"/>
      <c r="I652" s="606"/>
      <c r="J652" s="606"/>
      <c r="K652" s="606"/>
      <c r="L652" s="606"/>
      <c r="M652" s="606"/>
      <c r="N652" s="608"/>
      <c r="O652" s="608"/>
      <c r="P652" s="608"/>
      <c r="Q652" s="608"/>
    </row>
    <row r="653" spans="2:17" ht="27.75" customHeight="1" x14ac:dyDescent="0.25">
      <c r="B653" s="606"/>
      <c r="C653" s="606"/>
      <c r="D653" s="606"/>
      <c r="E653" s="606"/>
      <c r="F653" s="606"/>
      <c r="G653" s="606"/>
      <c r="H653" s="607"/>
      <c r="I653" s="606"/>
      <c r="J653" s="606"/>
      <c r="K653" s="606"/>
      <c r="L653" s="606"/>
      <c r="M653" s="606"/>
      <c r="N653" s="608"/>
      <c r="O653" s="608"/>
      <c r="P653" s="608"/>
      <c r="Q653" s="608"/>
    </row>
    <row r="654" spans="2:17" ht="27.75" customHeight="1" x14ac:dyDescent="0.25">
      <c r="B654" s="606"/>
      <c r="C654" s="606"/>
      <c r="D654" s="606"/>
      <c r="E654" s="606"/>
      <c r="F654" s="606"/>
      <c r="G654" s="606"/>
      <c r="H654" s="607"/>
      <c r="I654" s="606"/>
      <c r="J654" s="606"/>
      <c r="K654" s="606"/>
      <c r="L654" s="606"/>
      <c r="M654" s="606"/>
      <c r="N654" s="608"/>
      <c r="O654" s="608"/>
      <c r="P654" s="608"/>
      <c r="Q654" s="608"/>
    </row>
    <row r="655" spans="2:17" ht="27.75" customHeight="1" x14ac:dyDescent="0.25">
      <c r="B655" s="606"/>
      <c r="C655" s="606"/>
      <c r="D655" s="606"/>
      <c r="E655" s="606"/>
      <c r="F655" s="606"/>
      <c r="G655" s="606"/>
      <c r="H655" s="607"/>
      <c r="I655" s="606"/>
      <c r="J655" s="606"/>
      <c r="K655" s="606"/>
      <c r="L655" s="606"/>
      <c r="M655" s="606"/>
      <c r="N655" s="608"/>
      <c r="O655" s="608"/>
      <c r="P655" s="608"/>
      <c r="Q655" s="608"/>
    </row>
    <row r="656" spans="2:17" ht="27.75" customHeight="1" x14ac:dyDescent="0.25">
      <c r="B656" s="606"/>
      <c r="C656" s="606"/>
      <c r="D656" s="606"/>
      <c r="E656" s="606"/>
      <c r="F656" s="606"/>
      <c r="G656" s="606"/>
      <c r="H656" s="607"/>
      <c r="I656" s="606"/>
      <c r="J656" s="606"/>
      <c r="K656" s="606"/>
      <c r="L656" s="606"/>
      <c r="M656" s="606"/>
      <c r="N656" s="608"/>
      <c r="O656" s="608"/>
      <c r="P656" s="608"/>
      <c r="Q656" s="608"/>
    </row>
    <row r="657" spans="2:17" ht="27.75" customHeight="1" x14ac:dyDescent="0.25">
      <c r="B657" s="606"/>
      <c r="C657" s="606"/>
      <c r="D657" s="606"/>
      <c r="E657" s="606"/>
      <c r="F657" s="606"/>
      <c r="G657" s="606"/>
      <c r="H657" s="607"/>
      <c r="I657" s="606"/>
      <c r="J657" s="606"/>
      <c r="K657" s="606"/>
      <c r="L657" s="606"/>
      <c r="M657" s="606"/>
      <c r="N657" s="608"/>
      <c r="O657" s="608"/>
      <c r="P657" s="608"/>
      <c r="Q657" s="608"/>
    </row>
    <row r="658" spans="2:17" ht="27.75" customHeight="1" x14ac:dyDescent="0.25">
      <c r="B658" s="606"/>
      <c r="C658" s="606"/>
      <c r="D658" s="606"/>
      <c r="E658" s="606"/>
      <c r="F658" s="606"/>
      <c r="G658" s="606"/>
      <c r="H658" s="607"/>
      <c r="I658" s="606"/>
      <c r="J658" s="606"/>
      <c r="K658" s="606"/>
      <c r="L658" s="606"/>
      <c r="M658" s="606"/>
      <c r="N658" s="608"/>
      <c r="O658" s="608"/>
      <c r="P658" s="608"/>
      <c r="Q658" s="608"/>
    </row>
    <row r="659" spans="2:17" ht="27.75" customHeight="1" x14ac:dyDescent="0.25">
      <c r="B659" s="606"/>
      <c r="C659" s="606"/>
      <c r="D659" s="606"/>
      <c r="E659" s="606"/>
      <c r="F659" s="606"/>
      <c r="G659" s="606"/>
      <c r="H659" s="607"/>
      <c r="I659" s="606"/>
      <c r="J659" s="606"/>
      <c r="K659" s="606"/>
      <c r="L659" s="606"/>
      <c r="M659" s="606"/>
      <c r="N659" s="608"/>
      <c r="O659" s="608"/>
      <c r="P659" s="608"/>
      <c r="Q659" s="608"/>
    </row>
    <row r="660" spans="2:17" ht="27.75" customHeight="1" x14ac:dyDescent="0.25">
      <c r="B660" s="606"/>
      <c r="C660" s="606"/>
      <c r="D660" s="606"/>
      <c r="E660" s="606"/>
      <c r="F660" s="606"/>
      <c r="G660" s="606"/>
      <c r="H660" s="607"/>
      <c r="I660" s="606"/>
      <c r="J660" s="606"/>
      <c r="K660" s="606"/>
      <c r="L660" s="606"/>
      <c r="M660" s="606"/>
      <c r="N660" s="608"/>
      <c r="O660" s="608"/>
      <c r="P660" s="608"/>
      <c r="Q660" s="608"/>
    </row>
    <row r="661" spans="2:17" ht="27.75" customHeight="1" x14ac:dyDescent="0.25">
      <c r="B661" s="606"/>
      <c r="C661" s="606"/>
      <c r="D661" s="606"/>
      <c r="E661" s="606"/>
      <c r="F661" s="606"/>
      <c r="G661" s="606"/>
      <c r="H661" s="607"/>
      <c r="I661" s="606"/>
      <c r="J661" s="606"/>
      <c r="K661" s="606"/>
      <c r="L661" s="606"/>
      <c r="M661" s="606"/>
      <c r="N661" s="608"/>
      <c r="O661" s="608"/>
      <c r="P661" s="608"/>
      <c r="Q661" s="608"/>
    </row>
    <row r="662" spans="2:17" ht="27.75" customHeight="1" x14ac:dyDescent="0.25">
      <c r="B662" s="606"/>
      <c r="C662" s="606"/>
      <c r="D662" s="606"/>
      <c r="E662" s="606"/>
      <c r="F662" s="606"/>
      <c r="G662" s="606"/>
      <c r="H662" s="607"/>
      <c r="I662" s="606"/>
      <c r="J662" s="606"/>
      <c r="K662" s="606"/>
      <c r="L662" s="606"/>
      <c r="M662" s="606"/>
      <c r="N662" s="608"/>
      <c r="O662" s="608"/>
      <c r="P662" s="608"/>
      <c r="Q662" s="608"/>
    </row>
    <row r="663" spans="2:17" ht="27.75" customHeight="1" x14ac:dyDescent="0.25">
      <c r="B663" s="606"/>
      <c r="C663" s="606"/>
      <c r="D663" s="606"/>
      <c r="E663" s="606"/>
      <c r="F663" s="606"/>
      <c r="G663" s="606"/>
      <c r="H663" s="607"/>
      <c r="I663" s="606"/>
      <c r="J663" s="606"/>
      <c r="K663" s="606"/>
      <c r="L663" s="606"/>
      <c r="M663" s="606"/>
      <c r="N663" s="608"/>
      <c r="O663" s="608"/>
      <c r="P663" s="608"/>
      <c r="Q663" s="608"/>
    </row>
    <row r="664" spans="2:17" ht="27.75" customHeight="1" x14ac:dyDescent="0.25">
      <c r="B664" s="606"/>
      <c r="C664" s="606"/>
      <c r="D664" s="606"/>
      <c r="E664" s="606"/>
      <c r="F664" s="606"/>
      <c r="G664" s="606"/>
      <c r="H664" s="607"/>
      <c r="I664" s="606"/>
      <c r="J664" s="606"/>
      <c r="K664" s="606"/>
      <c r="L664" s="606"/>
      <c r="M664" s="606"/>
      <c r="N664" s="608"/>
      <c r="O664" s="608"/>
      <c r="P664" s="608"/>
      <c r="Q664" s="608"/>
    </row>
    <row r="665" spans="2:17" ht="27.75" customHeight="1" x14ac:dyDescent="0.25">
      <c r="B665" s="606"/>
      <c r="C665" s="606"/>
      <c r="D665" s="606"/>
      <c r="E665" s="606"/>
      <c r="F665" s="606"/>
      <c r="G665" s="606"/>
      <c r="H665" s="607"/>
      <c r="I665" s="606"/>
      <c r="J665" s="606"/>
      <c r="K665" s="606"/>
      <c r="L665" s="606"/>
      <c r="M665" s="606"/>
      <c r="N665" s="608"/>
      <c r="O665" s="608"/>
      <c r="P665" s="608"/>
      <c r="Q665" s="608"/>
    </row>
    <row r="666" spans="2:17" ht="27.75" customHeight="1" x14ac:dyDescent="0.25">
      <c r="B666" s="606"/>
      <c r="C666" s="606"/>
      <c r="D666" s="606"/>
      <c r="E666" s="606"/>
      <c r="F666" s="606"/>
      <c r="G666" s="606"/>
      <c r="H666" s="607"/>
      <c r="I666" s="606"/>
      <c r="J666" s="606"/>
      <c r="K666" s="606"/>
      <c r="L666" s="606"/>
      <c r="M666" s="606"/>
      <c r="N666" s="608"/>
      <c r="O666" s="608"/>
      <c r="P666" s="608"/>
      <c r="Q666" s="608"/>
    </row>
    <row r="667" spans="2:17" ht="27.75" customHeight="1" x14ac:dyDescent="0.25">
      <c r="B667" s="606"/>
      <c r="C667" s="606"/>
      <c r="D667" s="606"/>
      <c r="E667" s="606"/>
      <c r="F667" s="606"/>
      <c r="G667" s="606"/>
      <c r="H667" s="607"/>
      <c r="I667" s="606"/>
      <c r="J667" s="606"/>
      <c r="K667" s="606"/>
      <c r="L667" s="606"/>
      <c r="M667" s="606"/>
      <c r="N667" s="608"/>
      <c r="O667" s="608"/>
      <c r="P667" s="608"/>
      <c r="Q667" s="608"/>
    </row>
    <row r="668" spans="2:17" ht="27.75" customHeight="1" x14ac:dyDescent="0.25">
      <c r="B668" s="606"/>
      <c r="C668" s="606"/>
      <c r="D668" s="606"/>
      <c r="E668" s="606"/>
      <c r="F668" s="606"/>
      <c r="G668" s="606"/>
      <c r="H668" s="607"/>
      <c r="I668" s="606"/>
      <c r="J668" s="606"/>
      <c r="K668" s="606"/>
      <c r="L668" s="606"/>
      <c r="M668" s="606"/>
      <c r="N668" s="608"/>
      <c r="O668" s="608"/>
      <c r="P668" s="608"/>
      <c r="Q668" s="608"/>
    </row>
    <row r="669" spans="2:17" ht="27.75" customHeight="1" x14ac:dyDescent="0.25">
      <c r="B669" s="606"/>
      <c r="C669" s="606"/>
      <c r="D669" s="606"/>
      <c r="E669" s="606"/>
      <c r="F669" s="606"/>
      <c r="G669" s="606"/>
      <c r="H669" s="607"/>
      <c r="I669" s="606"/>
      <c r="J669" s="606"/>
      <c r="K669" s="606"/>
      <c r="L669" s="606"/>
      <c r="M669" s="606"/>
      <c r="N669" s="608"/>
      <c r="O669" s="608"/>
      <c r="P669" s="608"/>
      <c r="Q669" s="608"/>
    </row>
    <row r="670" spans="2:17" ht="27.75" customHeight="1" x14ac:dyDescent="0.25">
      <c r="B670" s="606"/>
      <c r="C670" s="606"/>
      <c r="D670" s="606"/>
      <c r="E670" s="606"/>
      <c r="F670" s="606"/>
      <c r="G670" s="606"/>
      <c r="H670" s="607"/>
      <c r="I670" s="606"/>
      <c r="J670" s="606"/>
      <c r="K670" s="606"/>
      <c r="L670" s="606"/>
      <c r="M670" s="606"/>
      <c r="N670" s="608"/>
      <c r="O670" s="608"/>
      <c r="P670" s="608"/>
      <c r="Q670" s="608"/>
    </row>
    <row r="671" spans="2:17" ht="27.75" customHeight="1" x14ac:dyDescent="0.25">
      <c r="B671" s="606"/>
      <c r="C671" s="606"/>
      <c r="D671" s="606"/>
      <c r="E671" s="606"/>
      <c r="F671" s="606"/>
      <c r="G671" s="606"/>
      <c r="H671" s="607"/>
      <c r="I671" s="606"/>
      <c r="J671" s="606"/>
      <c r="K671" s="606"/>
      <c r="L671" s="606"/>
      <c r="M671" s="606"/>
      <c r="N671" s="608"/>
      <c r="O671" s="608"/>
      <c r="P671" s="608"/>
      <c r="Q671" s="608"/>
    </row>
    <row r="672" spans="2:17" ht="27.75" customHeight="1" x14ac:dyDescent="0.25">
      <c r="B672" s="606"/>
      <c r="C672" s="606"/>
      <c r="D672" s="606"/>
      <c r="E672" s="606"/>
      <c r="F672" s="606"/>
      <c r="G672" s="606"/>
      <c r="H672" s="607"/>
      <c r="I672" s="606"/>
      <c r="J672" s="606"/>
      <c r="K672" s="606"/>
      <c r="L672" s="606"/>
      <c r="M672" s="606"/>
      <c r="N672" s="608"/>
      <c r="O672" s="608"/>
      <c r="P672" s="608"/>
      <c r="Q672" s="608"/>
    </row>
    <row r="673" spans="2:17" ht="27.75" customHeight="1" x14ac:dyDescent="0.25">
      <c r="B673" s="606"/>
      <c r="C673" s="606"/>
      <c r="D673" s="606"/>
      <c r="E673" s="606"/>
      <c r="F673" s="606"/>
      <c r="G673" s="606"/>
      <c r="H673" s="607"/>
      <c r="I673" s="606"/>
      <c r="J673" s="606"/>
      <c r="K673" s="606"/>
      <c r="L673" s="606"/>
      <c r="M673" s="606"/>
      <c r="N673" s="608"/>
      <c r="O673" s="608"/>
      <c r="P673" s="608"/>
      <c r="Q673" s="608"/>
    </row>
    <row r="674" spans="2:17" ht="27.75" customHeight="1" x14ac:dyDescent="0.25">
      <c r="B674" s="606"/>
      <c r="C674" s="606"/>
      <c r="D674" s="606"/>
      <c r="E674" s="606"/>
      <c r="F674" s="606"/>
      <c r="G674" s="606"/>
      <c r="H674" s="607"/>
      <c r="I674" s="606"/>
      <c r="J674" s="606"/>
      <c r="K674" s="606"/>
      <c r="L674" s="606"/>
      <c r="M674" s="606"/>
      <c r="N674" s="608"/>
      <c r="O674" s="608"/>
      <c r="P674" s="608"/>
      <c r="Q674" s="608"/>
    </row>
    <row r="675" spans="2:17" ht="27.75" customHeight="1" x14ac:dyDescent="0.25">
      <c r="B675" s="606"/>
      <c r="C675" s="606"/>
      <c r="D675" s="606"/>
      <c r="E675" s="606"/>
      <c r="F675" s="606"/>
      <c r="G675" s="606"/>
      <c r="H675" s="607"/>
      <c r="I675" s="606"/>
      <c r="J675" s="606"/>
      <c r="K675" s="606"/>
      <c r="L675" s="606"/>
      <c r="M675" s="606"/>
      <c r="N675" s="608"/>
      <c r="O675" s="608"/>
      <c r="P675" s="608"/>
      <c r="Q675" s="608"/>
    </row>
    <row r="676" spans="2:17" ht="27.75" customHeight="1" x14ac:dyDescent="0.25">
      <c r="B676" s="606"/>
      <c r="C676" s="606"/>
      <c r="D676" s="606"/>
      <c r="E676" s="606"/>
      <c r="F676" s="606"/>
      <c r="G676" s="606"/>
      <c r="H676" s="607"/>
      <c r="I676" s="606"/>
      <c r="J676" s="606"/>
      <c r="K676" s="606"/>
      <c r="L676" s="606"/>
      <c r="M676" s="606"/>
      <c r="N676" s="608"/>
      <c r="O676" s="608"/>
      <c r="P676" s="608"/>
      <c r="Q676" s="608"/>
    </row>
    <row r="677" spans="2:17" ht="27.75" customHeight="1" x14ac:dyDescent="0.25">
      <c r="B677" s="606"/>
      <c r="C677" s="606"/>
      <c r="D677" s="606"/>
      <c r="E677" s="606"/>
      <c r="F677" s="606"/>
      <c r="G677" s="606"/>
      <c r="H677" s="607"/>
      <c r="I677" s="606"/>
      <c r="J677" s="606"/>
      <c r="K677" s="606"/>
      <c r="L677" s="606"/>
      <c r="M677" s="606"/>
      <c r="N677" s="608"/>
      <c r="O677" s="608"/>
      <c r="P677" s="608"/>
      <c r="Q677" s="608"/>
    </row>
    <row r="678" spans="2:17" ht="27.75" customHeight="1" x14ac:dyDescent="0.25">
      <c r="B678" s="606"/>
      <c r="C678" s="606"/>
      <c r="D678" s="606"/>
      <c r="E678" s="606"/>
      <c r="F678" s="606"/>
      <c r="G678" s="606"/>
      <c r="H678" s="607"/>
      <c r="I678" s="606"/>
      <c r="J678" s="606"/>
      <c r="K678" s="606"/>
      <c r="L678" s="606"/>
      <c r="M678" s="606"/>
      <c r="N678" s="608"/>
      <c r="O678" s="608"/>
      <c r="P678" s="608"/>
      <c r="Q678" s="608"/>
    </row>
    <row r="679" spans="2:17" ht="27.75" customHeight="1" x14ac:dyDescent="0.25">
      <c r="B679" s="606"/>
      <c r="C679" s="606"/>
      <c r="D679" s="606"/>
      <c r="E679" s="606"/>
      <c r="F679" s="606"/>
      <c r="G679" s="606"/>
      <c r="H679" s="607"/>
      <c r="I679" s="606"/>
      <c r="J679" s="606"/>
      <c r="K679" s="606"/>
      <c r="L679" s="606"/>
      <c r="M679" s="606"/>
      <c r="N679" s="608"/>
      <c r="O679" s="608"/>
      <c r="P679" s="608"/>
      <c r="Q679" s="608"/>
    </row>
    <row r="680" spans="2:17" ht="27.75" customHeight="1" x14ac:dyDescent="0.25">
      <c r="B680" s="606"/>
      <c r="C680" s="606"/>
      <c r="D680" s="606"/>
      <c r="E680" s="606"/>
      <c r="F680" s="606"/>
      <c r="G680" s="606"/>
      <c r="H680" s="607"/>
      <c r="I680" s="606"/>
      <c r="J680" s="606"/>
      <c r="K680" s="606"/>
      <c r="L680" s="606"/>
      <c r="M680" s="606"/>
      <c r="N680" s="608"/>
      <c r="O680" s="608"/>
      <c r="P680" s="608"/>
      <c r="Q680" s="608"/>
    </row>
    <row r="681" spans="2:17" ht="27.75" customHeight="1" x14ac:dyDescent="0.25">
      <c r="B681" s="606"/>
      <c r="C681" s="606"/>
      <c r="D681" s="606"/>
      <c r="E681" s="606"/>
      <c r="F681" s="606"/>
      <c r="G681" s="606"/>
      <c r="H681" s="607"/>
      <c r="I681" s="606"/>
      <c r="J681" s="606"/>
      <c r="K681" s="606"/>
      <c r="L681" s="606"/>
      <c r="M681" s="606"/>
      <c r="N681" s="608"/>
      <c r="O681" s="608"/>
      <c r="P681" s="608"/>
      <c r="Q681" s="608"/>
    </row>
    <row r="682" spans="2:17" ht="27.75" customHeight="1" x14ac:dyDescent="0.25">
      <c r="B682" s="606"/>
      <c r="C682" s="606"/>
      <c r="D682" s="606"/>
      <c r="E682" s="606"/>
      <c r="F682" s="606"/>
      <c r="G682" s="606"/>
      <c r="H682" s="607"/>
      <c r="I682" s="606"/>
      <c r="J682" s="606"/>
      <c r="K682" s="606"/>
      <c r="L682" s="606"/>
      <c r="M682" s="606"/>
      <c r="N682" s="608"/>
      <c r="O682" s="608"/>
      <c r="P682" s="608"/>
      <c r="Q682" s="608"/>
    </row>
    <row r="683" spans="2:17" ht="27.75" customHeight="1" x14ac:dyDescent="0.25">
      <c r="B683" s="606"/>
      <c r="C683" s="606"/>
      <c r="D683" s="606"/>
      <c r="E683" s="606"/>
      <c r="F683" s="606"/>
      <c r="G683" s="606"/>
      <c r="H683" s="607"/>
      <c r="I683" s="606"/>
      <c r="J683" s="606"/>
      <c r="K683" s="606"/>
      <c r="L683" s="606"/>
      <c r="M683" s="606"/>
      <c r="N683" s="608"/>
      <c r="O683" s="608"/>
      <c r="P683" s="608"/>
      <c r="Q683" s="608"/>
    </row>
    <row r="684" spans="2:17" ht="27.75" customHeight="1" x14ac:dyDescent="0.25">
      <c r="B684" s="606"/>
      <c r="C684" s="606"/>
      <c r="D684" s="606"/>
      <c r="E684" s="606"/>
      <c r="F684" s="606"/>
      <c r="G684" s="606"/>
      <c r="H684" s="607"/>
      <c r="I684" s="606"/>
      <c r="J684" s="606"/>
      <c r="K684" s="606"/>
      <c r="L684" s="606"/>
      <c r="M684" s="606"/>
      <c r="N684" s="608"/>
      <c r="O684" s="608"/>
      <c r="P684" s="608"/>
      <c r="Q684" s="608"/>
    </row>
    <row r="685" spans="2:17" ht="27.75" customHeight="1" x14ac:dyDescent="0.25">
      <c r="B685" s="606"/>
      <c r="C685" s="606"/>
      <c r="D685" s="606"/>
      <c r="E685" s="606"/>
      <c r="F685" s="606"/>
      <c r="G685" s="606"/>
      <c r="H685" s="607"/>
      <c r="I685" s="606"/>
      <c r="J685" s="606"/>
      <c r="K685" s="606"/>
      <c r="L685" s="606"/>
      <c r="M685" s="606"/>
      <c r="N685" s="608"/>
      <c r="O685" s="608"/>
      <c r="P685" s="608"/>
      <c r="Q685" s="608"/>
    </row>
    <row r="686" spans="2:17" ht="27.75" customHeight="1" x14ac:dyDescent="0.25">
      <c r="B686" s="606"/>
      <c r="C686" s="606"/>
      <c r="D686" s="606"/>
      <c r="E686" s="606"/>
      <c r="F686" s="606"/>
      <c r="G686" s="606"/>
      <c r="H686" s="607"/>
      <c r="I686" s="606"/>
      <c r="J686" s="606"/>
      <c r="K686" s="606"/>
      <c r="L686" s="606"/>
      <c r="M686" s="606"/>
      <c r="N686" s="608"/>
      <c r="O686" s="608"/>
      <c r="P686" s="608"/>
      <c r="Q686" s="608"/>
    </row>
    <row r="687" spans="2:17" ht="27.75" customHeight="1" x14ac:dyDescent="0.25">
      <c r="B687" s="606"/>
      <c r="C687" s="606"/>
      <c r="D687" s="606"/>
      <c r="E687" s="606"/>
      <c r="F687" s="606"/>
      <c r="G687" s="606"/>
      <c r="H687" s="607"/>
      <c r="I687" s="606"/>
      <c r="J687" s="606"/>
      <c r="K687" s="606"/>
      <c r="L687" s="606"/>
      <c r="M687" s="606"/>
      <c r="N687" s="608"/>
      <c r="O687" s="608"/>
      <c r="P687" s="608"/>
      <c r="Q687" s="608"/>
    </row>
    <row r="688" spans="2:17" ht="27.75" customHeight="1" x14ac:dyDescent="0.25">
      <c r="B688" s="606"/>
      <c r="C688" s="606"/>
      <c r="D688" s="606"/>
      <c r="E688" s="606"/>
      <c r="F688" s="606"/>
      <c r="G688" s="606"/>
      <c r="H688" s="607"/>
      <c r="I688" s="606"/>
      <c r="J688" s="606"/>
      <c r="K688" s="606"/>
      <c r="L688" s="606"/>
      <c r="M688" s="606"/>
      <c r="N688" s="608"/>
      <c r="O688" s="608"/>
      <c r="P688" s="608"/>
      <c r="Q688" s="608"/>
    </row>
    <row r="689" spans="2:17" ht="27.75" customHeight="1" x14ac:dyDescent="0.25">
      <c r="B689" s="606"/>
      <c r="C689" s="606"/>
      <c r="D689" s="606"/>
      <c r="E689" s="606"/>
      <c r="F689" s="606"/>
      <c r="G689" s="606"/>
      <c r="H689" s="607"/>
      <c r="I689" s="606"/>
      <c r="J689" s="606"/>
      <c r="K689" s="606"/>
      <c r="L689" s="606"/>
      <c r="M689" s="606"/>
      <c r="N689" s="608"/>
      <c r="O689" s="608"/>
      <c r="P689" s="608"/>
      <c r="Q689" s="608"/>
    </row>
    <row r="690" spans="2:17" ht="27.75" customHeight="1" x14ac:dyDescent="0.25">
      <c r="B690" s="606"/>
      <c r="C690" s="606"/>
      <c r="D690" s="606"/>
      <c r="E690" s="606"/>
      <c r="F690" s="606"/>
      <c r="G690" s="606"/>
      <c r="H690" s="607"/>
      <c r="I690" s="606"/>
      <c r="J690" s="606"/>
      <c r="K690" s="606"/>
      <c r="L690" s="606"/>
      <c r="M690" s="606"/>
      <c r="N690" s="608"/>
      <c r="O690" s="608"/>
      <c r="P690" s="608"/>
      <c r="Q690" s="608"/>
    </row>
    <row r="691" spans="2:17" ht="27.75" customHeight="1" x14ac:dyDescent="0.25">
      <c r="B691" s="606"/>
      <c r="C691" s="606"/>
      <c r="D691" s="606"/>
      <c r="E691" s="606"/>
      <c r="F691" s="606"/>
      <c r="G691" s="606"/>
      <c r="H691" s="607"/>
      <c r="I691" s="606"/>
      <c r="J691" s="606"/>
      <c r="K691" s="606"/>
      <c r="L691" s="606"/>
      <c r="M691" s="606"/>
      <c r="N691" s="608"/>
      <c r="O691" s="608"/>
      <c r="P691" s="608"/>
      <c r="Q691" s="608"/>
    </row>
    <row r="692" spans="2:17" ht="27.75" customHeight="1" x14ac:dyDescent="0.25">
      <c r="B692" s="606"/>
      <c r="C692" s="606"/>
      <c r="D692" s="606"/>
      <c r="E692" s="606"/>
      <c r="F692" s="606"/>
      <c r="G692" s="606"/>
      <c r="H692" s="607"/>
      <c r="I692" s="606"/>
      <c r="J692" s="606"/>
      <c r="K692" s="606"/>
      <c r="L692" s="606"/>
      <c r="M692" s="606"/>
      <c r="N692" s="608"/>
      <c r="O692" s="608"/>
      <c r="P692" s="608"/>
      <c r="Q692" s="608"/>
    </row>
    <row r="693" spans="2:17" ht="27.75" customHeight="1" x14ac:dyDescent="0.25">
      <c r="B693" s="606"/>
      <c r="C693" s="606"/>
      <c r="D693" s="606"/>
      <c r="E693" s="606"/>
      <c r="F693" s="606"/>
      <c r="G693" s="606"/>
      <c r="H693" s="607"/>
      <c r="I693" s="606"/>
      <c r="J693" s="606"/>
      <c r="K693" s="606"/>
      <c r="L693" s="606"/>
      <c r="M693" s="606"/>
      <c r="N693" s="608"/>
      <c r="O693" s="608"/>
      <c r="P693" s="608"/>
      <c r="Q693" s="608"/>
    </row>
    <row r="694" spans="2:17" ht="27.75" customHeight="1" x14ac:dyDescent="0.25">
      <c r="B694" s="606"/>
      <c r="C694" s="606"/>
      <c r="D694" s="606"/>
      <c r="E694" s="606"/>
      <c r="F694" s="606"/>
      <c r="G694" s="606"/>
      <c r="H694" s="607"/>
      <c r="I694" s="606"/>
      <c r="J694" s="606"/>
      <c r="K694" s="606"/>
      <c r="L694" s="606"/>
      <c r="M694" s="606"/>
      <c r="N694" s="608"/>
      <c r="O694" s="608"/>
      <c r="P694" s="608"/>
      <c r="Q694" s="608"/>
    </row>
    <row r="695" spans="2:17" ht="27.75" customHeight="1" x14ac:dyDescent="0.25">
      <c r="B695" s="606"/>
      <c r="C695" s="606"/>
      <c r="D695" s="606"/>
      <c r="E695" s="606"/>
      <c r="F695" s="606"/>
      <c r="G695" s="606"/>
      <c r="H695" s="607"/>
      <c r="I695" s="606"/>
      <c r="J695" s="606"/>
      <c r="K695" s="606"/>
      <c r="L695" s="606"/>
      <c r="M695" s="606"/>
      <c r="N695" s="608"/>
      <c r="O695" s="608"/>
      <c r="P695" s="608"/>
      <c r="Q695" s="608"/>
    </row>
    <row r="696" spans="2:17" ht="27.75" customHeight="1" x14ac:dyDescent="0.25">
      <c r="B696" s="606"/>
      <c r="C696" s="606"/>
      <c r="D696" s="606"/>
      <c r="E696" s="606"/>
      <c r="F696" s="606"/>
      <c r="G696" s="606"/>
      <c r="H696" s="607"/>
      <c r="I696" s="606"/>
      <c r="J696" s="606"/>
      <c r="K696" s="606"/>
      <c r="L696" s="606"/>
      <c r="M696" s="606"/>
      <c r="N696" s="608"/>
      <c r="O696" s="608"/>
      <c r="P696" s="608"/>
      <c r="Q696" s="608"/>
    </row>
    <row r="697" spans="2:17" ht="27.75" customHeight="1" x14ac:dyDescent="0.25">
      <c r="B697" s="606"/>
      <c r="C697" s="606"/>
      <c r="D697" s="606"/>
      <c r="E697" s="606"/>
      <c r="F697" s="606"/>
      <c r="G697" s="606"/>
      <c r="H697" s="607"/>
      <c r="I697" s="606"/>
      <c r="J697" s="606"/>
      <c r="K697" s="606"/>
      <c r="L697" s="606"/>
      <c r="M697" s="606"/>
      <c r="N697" s="608"/>
      <c r="O697" s="608"/>
      <c r="P697" s="608"/>
      <c r="Q697" s="608"/>
    </row>
    <row r="698" spans="2:17" ht="27.75" customHeight="1" x14ac:dyDescent="0.25">
      <c r="B698" s="606"/>
      <c r="C698" s="606"/>
      <c r="D698" s="606"/>
      <c r="E698" s="606"/>
      <c r="F698" s="606"/>
      <c r="G698" s="606"/>
      <c r="H698" s="607"/>
      <c r="I698" s="606"/>
      <c r="J698" s="606"/>
      <c r="K698" s="606"/>
      <c r="L698" s="606"/>
      <c r="M698" s="606"/>
      <c r="N698" s="608"/>
      <c r="O698" s="608"/>
      <c r="P698" s="608"/>
      <c r="Q698" s="608"/>
    </row>
    <row r="699" spans="2:17" ht="27.75" customHeight="1" x14ac:dyDescent="0.25">
      <c r="B699" s="606"/>
      <c r="C699" s="606"/>
      <c r="D699" s="606"/>
      <c r="E699" s="606"/>
      <c r="F699" s="606"/>
      <c r="G699" s="606"/>
      <c r="H699" s="607"/>
      <c r="I699" s="606"/>
      <c r="J699" s="606"/>
      <c r="K699" s="606"/>
      <c r="L699" s="606"/>
      <c r="M699" s="606"/>
      <c r="N699" s="608"/>
      <c r="O699" s="608"/>
      <c r="P699" s="608"/>
      <c r="Q699" s="608"/>
    </row>
    <row r="700" spans="2:17" ht="27.75" customHeight="1" x14ac:dyDescent="0.25">
      <c r="B700" s="606"/>
      <c r="C700" s="606"/>
      <c r="D700" s="606"/>
      <c r="E700" s="606"/>
      <c r="F700" s="606"/>
      <c r="G700" s="606"/>
      <c r="H700" s="607"/>
      <c r="I700" s="606"/>
      <c r="J700" s="606"/>
      <c r="K700" s="606"/>
      <c r="L700" s="606"/>
      <c r="M700" s="606"/>
      <c r="N700" s="608"/>
      <c r="O700" s="608"/>
      <c r="P700" s="608"/>
      <c r="Q700" s="608"/>
    </row>
    <row r="701" spans="2:17" ht="27.75" customHeight="1" x14ac:dyDescent="0.25">
      <c r="B701" s="606"/>
      <c r="C701" s="606"/>
      <c r="D701" s="606"/>
      <c r="E701" s="606"/>
      <c r="F701" s="606"/>
      <c r="G701" s="606"/>
      <c r="H701" s="607"/>
      <c r="I701" s="606"/>
      <c r="J701" s="606"/>
      <c r="K701" s="606"/>
      <c r="L701" s="606"/>
      <c r="M701" s="606"/>
      <c r="N701" s="608"/>
      <c r="O701" s="608"/>
      <c r="P701" s="608"/>
      <c r="Q701" s="608"/>
    </row>
    <row r="702" spans="2:17" ht="27.75" customHeight="1" x14ac:dyDescent="0.25">
      <c r="B702" s="606"/>
      <c r="C702" s="606"/>
      <c r="D702" s="606"/>
      <c r="E702" s="606"/>
      <c r="F702" s="606"/>
      <c r="G702" s="606"/>
      <c r="H702" s="607"/>
      <c r="I702" s="606"/>
      <c r="J702" s="606"/>
      <c r="K702" s="606"/>
      <c r="L702" s="606"/>
      <c r="M702" s="606"/>
      <c r="N702" s="608"/>
      <c r="O702" s="608"/>
      <c r="P702" s="608"/>
      <c r="Q702" s="608"/>
    </row>
    <row r="703" spans="2:17" ht="27.75" customHeight="1" x14ac:dyDescent="0.25">
      <c r="B703" s="606"/>
      <c r="C703" s="606"/>
      <c r="D703" s="606"/>
      <c r="E703" s="606"/>
      <c r="F703" s="606"/>
      <c r="G703" s="606"/>
      <c r="H703" s="607"/>
      <c r="I703" s="606"/>
      <c r="J703" s="606"/>
      <c r="K703" s="606"/>
      <c r="L703" s="606"/>
      <c r="M703" s="606"/>
      <c r="N703" s="608"/>
      <c r="O703" s="608"/>
      <c r="P703" s="608"/>
      <c r="Q703" s="608"/>
    </row>
    <row r="704" spans="2:17" ht="27.75" customHeight="1" x14ac:dyDescent="0.25">
      <c r="B704" s="606"/>
      <c r="C704" s="606"/>
      <c r="D704" s="606"/>
      <c r="E704" s="606"/>
      <c r="F704" s="606"/>
      <c r="G704" s="606"/>
      <c r="H704" s="607"/>
      <c r="I704" s="606"/>
      <c r="J704" s="606"/>
      <c r="K704" s="606"/>
      <c r="L704" s="606"/>
      <c r="M704" s="606"/>
      <c r="N704" s="608"/>
      <c r="O704" s="608"/>
      <c r="P704" s="608"/>
      <c r="Q704" s="608"/>
    </row>
    <row r="705" spans="2:17" ht="27.75" customHeight="1" x14ac:dyDescent="0.25">
      <c r="B705" s="606"/>
      <c r="C705" s="606"/>
      <c r="D705" s="606"/>
      <c r="E705" s="606"/>
      <c r="F705" s="606"/>
      <c r="G705" s="606"/>
      <c r="H705" s="607"/>
      <c r="I705" s="606"/>
      <c r="J705" s="606"/>
      <c r="K705" s="606"/>
      <c r="L705" s="606"/>
      <c r="M705" s="606"/>
      <c r="N705" s="608"/>
      <c r="O705" s="608"/>
      <c r="P705" s="608"/>
      <c r="Q705" s="608"/>
    </row>
    <row r="706" spans="2:17" ht="27.75" customHeight="1" x14ac:dyDescent="0.25">
      <c r="B706" s="606"/>
      <c r="C706" s="606"/>
      <c r="D706" s="606"/>
      <c r="E706" s="606"/>
      <c r="F706" s="606"/>
      <c r="G706" s="606"/>
      <c r="H706" s="607"/>
      <c r="I706" s="606"/>
      <c r="J706" s="606"/>
      <c r="K706" s="606"/>
      <c r="L706" s="606"/>
      <c r="M706" s="606"/>
      <c r="N706" s="608"/>
      <c r="O706" s="608"/>
      <c r="P706" s="608"/>
      <c r="Q706" s="608"/>
    </row>
    <row r="707" spans="2:17" ht="27.75" customHeight="1" x14ac:dyDescent="0.25">
      <c r="B707" s="606"/>
      <c r="C707" s="606"/>
      <c r="D707" s="606"/>
      <c r="E707" s="606"/>
      <c r="F707" s="606"/>
      <c r="G707" s="606"/>
      <c r="H707" s="607"/>
      <c r="I707" s="606"/>
      <c r="J707" s="606"/>
      <c r="K707" s="606"/>
      <c r="L707" s="606"/>
      <c r="M707" s="606"/>
      <c r="N707" s="608"/>
      <c r="O707" s="608"/>
      <c r="P707" s="608"/>
      <c r="Q707" s="608"/>
    </row>
    <row r="708" spans="2:17" ht="27.75" customHeight="1" x14ac:dyDescent="0.25">
      <c r="B708" s="606"/>
      <c r="C708" s="606"/>
      <c r="D708" s="606"/>
      <c r="E708" s="606"/>
      <c r="F708" s="606"/>
      <c r="G708" s="606"/>
      <c r="H708" s="607"/>
      <c r="I708" s="606"/>
      <c r="J708" s="606"/>
      <c r="K708" s="606"/>
      <c r="L708" s="606"/>
      <c r="M708" s="606"/>
      <c r="N708" s="608"/>
      <c r="O708" s="608"/>
      <c r="P708" s="608"/>
      <c r="Q708" s="608"/>
    </row>
    <row r="709" spans="2:17" ht="27.75" customHeight="1" x14ac:dyDescent="0.25">
      <c r="B709" s="606"/>
      <c r="C709" s="606"/>
      <c r="D709" s="606"/>
      <c r="E709" s="606"/>
      <c r="F709" s="606"/>
      <c r="G709" s="606"/>
      <c r="H709" s="607"/>
      <c r="I709" s="606"/>
      <c r="J709" s="606"/>
      <c r="K709" s="606"/>
      <c r="L709" s="606"/>
      <c r="M709" s="606"/>
      <c r="N709" s="608"/>
      <c r="O709" s="608"/>
      <c r="P709" s="608"/>
      <c r="Q709" s="608"/>
    </row>
    <row r="710" spans="2:17" ht="27.75" customHeight="1" x14ac:dyDescent="0.25">
      <c r="B710" s="606"/>
      <c r="C710" s="606"/>
      <c r="D710" s="606"/>
      <c r="E710" s="606"/>
      <c r="F710" s="606"/>
      <c r="G710" s="606"/>
      <c r="H710" s="607"/>
      <c r="I710" s="606"/>
      <c r="J710" s="606"/>
      <c r="K710" s="606"/>
      <c r="L710" s="606"/>
      <c r="M710" s="606"/>
      <c r="N710" s="608"/>
      <c r="O710" s="608"/>
      <c r="P710" s="608"/>
      <c r="Q710" s="608"/>
    </row>
    <row r="711" spans="2:17" ht="27.75" customHeight="1" x14ac:dyDescent="0.25">
      <c r="B711" s="606"/>
      <c r="C711" s="606"/>
      <c r="D711" s="606"/>
      <c r="E711" s="606"/>
      <c r="F711" s="606"/>
      <c r="G711" s="606"/>
      <c r="H711" s="607"/>
      <c r="I711" s="606"/>
      <c r="J711" s="606"/>
      <c r="K711" s="606"/>
      <c r="L711" s="606"/>
      <c r="M711" s="606"/>
      <c r="N711" s="608"/>
      <c r="O711" s="608"/>
      <c r="P711" s="608"/>
      <c r="Q711" s="608"/>
    </row>
    <row r="712" spans="2:17" ht="27.75" customHeight="1" x14ac:dyDescent="0.25">
      <c r="B712" s="606"/>
      <c r="C712" s="606"/>
      <c r="D712" s="606"/>
      <c r="E712" s="606"/>
      <c r="F712" s="606"/>
      <c r="G712" s="606"/>
      <c r="H712" s="607"/>
      <c r="I712" s="606"/>
      <c r="J712" s="606"/>
      <c r="K712" s="606"/>
      <c r="L712" s="606"/>
      <c r="M712" s="606"/>
      <c r="N712" s="608"/>
      <c r="O712" s="608"/>
      <c r="P712" s="608"/>
      <c r="Q712" s="608"/>
    </row>
    <row r="713" spans="2:17" ht="27.75" customHeight="1" x14ac:dyDescent="0.25">
      <c r="B713" s="606"/>
      <c r="C713" s="606"/>
      <c r="D713" s="606"/>
      <c r="E713" s="606"/>
      <c r="F713" s="606"/>
      <c r="G713" s="606"/>
      <c r="H713" s="607"/>
      <c r="I713" s="606"/>
      <c r="J713" s="606"/>
      <c r="K713" s="606"/>
      <c r="L713" s="606"/>
      <c r="M713" s="606"/>
      <c r="N713" s="608"/>
      <c r="O713" s="608"/>
      <c r="P713" s="608"/>
      <c r="Q713" s="608"/>
    </row>
    <row r="714" spans="2:17" ht="27.75" customHeight="1" x14ac:dyDescent="0.25">
      <c r="B714" s="606"/>
      <c r="C714" s="606"/>
      <c r="D714" s="606"/>
      <c r="E714" s="606"/>
      <c r="F714" s="606"/>
      <c r="G714" s="606"/>
      <c r="H714" s="607"/>
      <c r="I714" s="606"/>
      <c r="J714" s="606"/>
      <c r="K714" s="606"/>
      <c r="L714" s="606"/>
      <c r="M714" s="606"/>
      <c r="N714" s="608"/>
      <c r="O714" s="608"/>
      <c r="P714" s="608"/>
      <c r="Q714" s="608"/>
    </row>
    <row r="715" spans="2:17" ht="27.75" customHeight="1" x14ac:dyDescent="0.25">
      <c r="B715" s="606"/>
      <c r="C715" s="606"/>
      <c r="D715" s="606"/>
      <c r="E715" s="606"/>
      <c r="F715" s="606"/>
      <c r="G715" s="606"/>
      <c r="H715" s="607"/>
      <c r="I715" s="606"/>
      <c r="J715" s="606"/>
      <c r="K715" s="606"/>
      <c r="L715" s="606"/>
      <c r="M715" s="606"/>
      <c r="N715" s="608"/>
      <c r="O715" s="608"/>
      <c r="P715" s="608"/>
      <c r="Q715" s="608"/>
    </row>
    <row r="716" spans="2:17" ht="27.75" customHeight="1" x14ac:dyDescent="0.25">
      <c r="B716" s="606"/>
      <c r="C716" s="606"/>
      <c r="D716" s="606"/>
      <c r="E716" s="606"/>
      <c r="F716" s="606"/>
      <c r="G716" s="606"/>
      <c r="H716" s="607"/>
      <c r="I716" s="606"/>
      <c r="J716" s="606"/>
      <c r="K716" s="606"/>
      <c r="L716" s="606"/>
      <c r="M716" s="606"/>
      <c r="N716" s="608"/>
      <c r="O716" s="608"/>
      <c r="P716" s="608"/>
      <c r="Q716" s="608"/>
    </row>
    <row r="717" spans="2:17" ht="27.75" customHeight="1" x14ac:dyDescent="0.25">
      <c r="B717" s="606"/>
      <c r="C717" s="606"/>
      <c r="D717" s="606"/>
      <c r="E717" s="606"/>
      <c r="F717" s="606"/>
      <c r="G717" s="606"/>
      <c r="H717" s="607"/>
      <c r="I717" s="606"/>
      <c r="J717" s="606"/>
      <c r="K717" s="606"/>
      <c r="L717" s="606"/>
      <c r="M717" s="606"/>
      <c r="N717" s="608"/>
      <c r="O717" s="608"/>
      <c r="P717" s="608"/>
      <c r="Q717" s="608"/>
    </row>
    <row r="718" spans="2:17" ht="27.75" customHeight="1" x14ac:dyDescent="0.25">
      <c r="B718" s="606"/>
      <c r="C718" s="606"/>
      <c r="D718" s="606"/>
      <c r="E718" s="606"/>
      <c r="F718" s="606"/>
      <c r="G718" s="606"/>
      <c r="H718" s="607"/>
      <c r="I718" s="606"/>
      <c r="J718" s="606"/>
      <c r="K718" s="606"/>
      <c r="L718" s="606"/>
      <c r="M718" s="606"/>
      <c r="N718" s="608"/>
      <c r="O718" s="608"/>
      <c r="P718" s="608"/>
      <c r="Q718" s="608"/>
    </row>
    <row r="719" spans="2:17" ht="27.75" customHeight="1" x14ac:dyDescent="0.25">
      <c r="B719" s="606"/>
      <c r="C719" s="606"/>
      <c r="D719" s="606"/>
      <c r="E719" s="606"/>
      <c r="F719" s="606"/>
      <c r="G719" s="606"/>
      <c r="H719" s="607"/>
      <c r="I719" s="606"/>
      <c r="J719" s="606"/>
      <c r="K719" s="606"/>
      <c r="L719" s="606"/>
      <c r="M719" s="606"/>
      <c r="N719" s="608"/>
      <c r="O719" s="608"/>
      <c r="P719" s="608"/>
      <c r="Q719" s="608"/>
    </row>
    <row r="720" spans="2:17" ht="27.75" customHeight="1" x14ac:dyDescent="0.25">
      <c r="B720" s="606"/>
      <c r="C720" s="606"/>
      <c r="D720" s="606"/>
      <c r="E720" s="606"/>
      <c r="F720" s="606"/>
      <c r="G720" s="606"/>
      <c r="H720" s="607"/>
      <c r="I720" s="606"/>
      <c r="J720" s="606"/>
      <c r="K720" s="606"/>
      <c r="L720" s="606"/>
      <c r="M720" s="606"/>
      <c r="N720" s="608"/>
      <c r="O720" s="608"/>
      <c r="P720" s="608"/>
      <c r="Q720" s="608"/>
    </row>
    <row r="721" spans="2:17" ht="27.75" customHeight="1" x14ac:dyDescent="0.25">
      <c r="B721" s="606"/>
      <c r="C721" s="606"/>
      <c r="D721" s="606"/>
      <c r="E721" s="606"/>
      <c r="F721" s="606"/>
      <c r="G721" s="606"/>
      <c r="H721" s="607"/>
      <c r="I721" s="606"/>
      <c r="J721" s="606"/>
      <c r="K721" s="606"/>
      <c r="L721" s="606"/>
      <c r="M721" s="606"/>
      <c r="N721" s="608"/>
      <c r="O721" s="608"/>
      <c r="P721" s="608"/>
      <c r="Q721" s="608"/>
    </row>
    <row r="722" spans="2:17" ht="27.75" customHeight="1" x14ac:dyDescent="0.25">
      <c r="B722" s="606"/>
      <c r="C722" s="606"/>
      <c r="D722" s="606"/>
      <c r="E722" s="606"/>
      <c r="F722" s="606"/>
      <c r="G722" s="606"/>
      <c r="H722" s="607"/>
      <c r="I722" s="606"/>
      <c r="J722" s="606"/>
      <c r="K722" s="606"/>
      <c r="L722" s="606"/>
      <c r="M722" s="606"/>
      <c r="N722" s="608"/>
      <c r="O722" s="608"/>
      <c r="P722" s="608"/>
      <c r="Q722" s="608"/>
    </row>
    <row r="723" spans="2:17" ht="27.75" customHeight="1" x14ac:dyDescent="0.25">
      <c r="B723" s="606"/>
      <c r="C723" s="606"/>
      <c r="D723" s="606"/>
      <c r="E723" s="606"/>
      <c r="F723" s="606"/>
      <c r="G723" s="606"/>
      <c r="H723" s="607"/>
      <c r="I723" s="606"/>
      <c r="J723" s="606"/>
      <c r="K723" s="606"/>
      <c r="L723" s="606"/>
      <c r="M723" s="606"/>
      <c r="N723" s="608"/>
      <c r="O723" s="608"/>
      <c r="P723" s="608"/>
      <c r="Q723" s="608"/>
    </row>
    <row r="724" spans="2:17" ht="27.75" customHeight="1" x14ac:dyDescent="0.25">
      <c r="B724" s="606"/>
      <c r="C724" s="606"/>
      <c r="D724" s="606"/>
      <c r="E724" s="606"/>
      <c r="F724" s="606"/>
      <c r="G724" s="606"/>
      <c r="H724" s="607"/>
      <c r="I724" s="606"/>
      <c r="J724" s="606"/>
      <c r="K724" s="606"/>
      <c r="L724" s="606"/>
      <c r="M724" s="606"/>
      <c r="N724" s="608"/>
      <c r="O724" s="608"/>
      <c r="P724" s="608"/>
      <c r="Q724" s="608"/>
    </row>
    <row r="725" spans="2:17" ht="27.75" customHeight="1" x14ac:dyDescent="0.25">
      <c r="B725" s="606"/>
      <c r="C725" s="606"/>
      <c r="D725" s="606"/>
      <c r="E725" s="606"/>
      <c r="F725" s="606"/>
      <c r="G725" s="606"/>
      <c r="H725" s="607"/>
      <c r="I725" s="606"/>
      <c r="J725" s="606"/>
      <c r="K725" s="606"/>
      <c r="L725" s="606"/>
      <c r="M725" s="606"/>
      <c r="N725" s="608"/>
      <c r="O725" s="608"/>
      <c r="P725" s="608"/>
      <c r="Q725" s="608"/>
    </row>
    <row r="726" spans="2:17" ht="27.75" customHeight="1" x14ac:dyDescent="0.25">
      <c r="B726" s="606"/>
      <c r="C726" s="606"/>
      <c r="D726" s="606"/>
      <c r="E726" s="606"/>
      <c r="F726" s="606"/>
      <c r="G726" s="606"/>
      <c r="H726" s="607"/>
      <c r="I726" s="606"/>
      <c r="J726" s="606"/>
      <c r="K726" s="606"/>
      <c r="L726" s="606"/>
      <c r="M726" s="606"/>
      <c r="N726" s="608"/>
      <c r="O726" s="608"/>
      <c r="P726" s="608"/>
      <c r="Q726" s="608"/>
    </row>
    <row r="727" spans="2:17" ht="27.75" customHeight="1" x14ac:dyDescent="0.25">
      <c r="B727" s="606"/>
      <c r="C727" s="606"/>
      <c r="D727" s="606"/>
      <c r="E727" s="606"/>
      <c r="F727" s="606"/>
      <c r="G727" s="606"/>
      <c r="H727" s="607"/>
      <c r="I727" s="606"/>
      <c r="J727" s="606"/>
      <c r="K727" s="606"/>
      <c r="L727" s="606"/>
      <c r="M727" s="606"/>
      <c r="N727" s="608"/>
      <c r="O727" s="608"/>
      <c r="P727" s="608"/>
      <c r="Q727" s="608"/>
    </row>
    <row r="728" spans="2:17" ht="27.75" customHeight="1" x14ac:dyDescent="0.25">
      <c r="B728" s="606"/>
      <c r="C728" s="606"/>
      <c r="D728" s="606"/>
      <c r="E728" s="606"/>
      <c r="F728" s="606"/>
      <c r="G728" s="606"/>
      <c r="H728" s="607"/>
      <c r="I728" s="606"/>
      <c r="J728" s="606"/>
      <c r="K728" s="606"/>
      <c r="L728" s="606"/>
      <c r="M728" s="606"/>
      <c r="N728" s="608"/>
      <c r="O728" s="608"/>
      <c r="P728" s="608"/>
      <c r="Q728" s="608"/>
    </row>
    <row r="729" spans="2:17" ht="27.75" customHeight="1" x14ac:dyDescent="0.25">
      <c r="B729" s="606"/>
      <c r="C729" s="606"/>
      <c r="D729" s="606"/>
      <c r="E729" s="606"/>
      <c r="F729" s="606"/>
      <c r="G729" s="606"/>
      <c r="H729" s="607"/>
      <c r="I729" s="606"/>
      <c r="J729" s="606"/>
      <c r="K729" s="606"/>
      <c r="L729" s="606"/>
      <c r="M729" s="606"/>
      <c r="N729" s="608"/>
      <c r="O729" s="608"/>
      <c r="P729" s="608"/>
      <c r="Q729" s="608"/>
    </row>
    <row r="730" spans="2:17" ht="27.75" customHeight="1" x14ac:dyDescent="0.25">
      <c r="B730" s="606"/>
      <c r="C730" s="606"/>
      <c r="D730" s="606"/>
      <c r="E730" s="606"/>
      <c r="F730" s="606"/>
      <c r="G730" s="606"/>
      <c r="H730" s="607"/>
      <c r="I730" s="606"/>
      <c r="J730" s="606"/>
      <c r="K730" s="606"/>
      <c r="L730" s="606"/>
      <c r="M730" s="606"/>
      <c r="N730" s="608"/>
      <c r="O730" s="608"/>
      <c r="P730" s="608"/>
      <c r="Q730" s="608"/>
    </row>
    <row r="731" spans="2:17" ht="27.75" customHeight="1" x14ac:dyDescent="0.25">
      <c r="B731" s="606"/>
      <c r="C731" s="606"/>
      <c r="D731" s="606"/>
      <c r="E731" s="606"/>
      <c r="F731" s="606"/>
      <c r="G731" s="606"/>
      <c r="H731" s="607"/>
      <c r="I731" s="606"/>
      <c r="J731" s="606"/>
      <c r="K731" s="606"/>
      <c r="L731" s="606"/>
      <c r="M731" s="606"/>
      <c r="N731" s="608"/>
      <c r="O731" s="608"/>
      <c r="P731" s="608"/>
      <c r="Q731" s="608"/>
    </row>
    <row r="732" spans="2:17" ht="27.75" customHeight="1" x14ac:dyDescent="0.25">
      <c r="B732" s="606"/>
      <c r="C732" s="606"/>
      <c r="D732" s="606"/>
      <c r="E732" s="606"/>
      <c r="F732" s="606"/>
      <c r="G732" s="606"/>
      <c r="H732" s="607"/>
      <c r="I732" s="606"/>
      <c r="J732" s="606"/>
      <c r="K732" s="606"/>
      <c r="L732" s="606"/>
      <c r="M732" s="606"/>
      <c r="N732" s="608"/>
      <c r="O732" s="608"/>
      <c r="P732" s="608"/>
      <c r="Q732" s="608"/>
    </row>
    <row r="733" spans="2:17" ht="27.75" customHeight="1" x14ac:dyDescent="0.25">
      <c r="B733" s="606"/>
      <c r="C733" s="606"/>
      <c r="D733" s="606"/>
      <c r="E733" s="606"/>
      <c r="F733" s="606"/>
      <c r="G733" s="606"/>
      <c r="H733" s="607"/>
      <c r="I733" s="606"/>
      <c r="J733" s="606"/>
      <c r="K733" s="606"/>
      <c r="L733" s="606"/>
      <c r="M733" s="606"/>
      <c r="N733" s="608"/>
      <c r="O733" s="608"/>
      <c r="P733" s="608"/>
      <c r="Q733" s="608"/>
    </row>
    <row r="734" spans="2:17" ht="27.75" customHeight="1" x14ac:dyDescent="0.25">
      <c r="B734" s="606"/>
      <c r="C734" s="606"/>
      <c r="D734" s="606"/>
      <c r="E734" s="606"/>
      <c r="F734" s="606"/>
      <c r="G734" s="606"/>
      <c r="H734" s="607"/>
      <c r="I734" s="606"/>
      <c r="J734" s="606"/>
      <c r="K734" s="606"/>
      <c r="L734" s="606"/>
      <c r="M734" s="606"/>
      <c r="N734" s="608"/>
      <c r="O734" s="608"/>
      <c r="P734" s="608"/>
      <c r="Q734" s="608"/>
    </row>
    <row r="735" spans="2:17" ht="27.75" customHeight="1" x14ac:dyDescent="0.25">
      <c r="B735" s="606"/>
      <c r="C735" s="606"/>
      <c r="D735" s="606"/>
      <c r="E735" s="606"/>
      <c r="F735" s="606"/>
      <c r="G735" s="606"/>
      <c r="H735" s="607"/>
      <c r="I735" s="606"/>
      <c r="J735" s="606"/>
      <c r="K735" s="606"/>
      <c r="L735" s="606"/>
      <c r="M735" s="606"/>
      <c r="N735" s="608"/>
      <c r="O735" s="608"/>
      <c r="P735" s="608"/>
      <c r="Q735" s="608"/>
    </row>
    <row r="736" spans="2:17" ht="27.75" customHeight="1" x14ac:dyDescent="0.25">
      <c r="B736" s="606"/>
      <c r="C736" s="606"/>
      <c r="D736" s="606"/>
      <c r="E736" s="606"/>
      <c r="F736" s="606"/>
      <c r="G736" s="606"/>
      <c r="H736" s="607"/>
      <c r="I736" s="606"/>
      <c r="J736" s="606"/>
      <c r="K736" s="606"/>
      <c r="L736" s="606"/>
      <c r="M736" s="606"/>
      <c r="N736" s="608"/>
      <c r="O736" s="608"/>
      <c r="P736" s="608"/>
      <c r="Q736" s="608"/>
    </row>
    <row r="737" spans="2:17" ht="27.75" customHeight="1" x14ac:dyDescent="0.25">
      <c r="B737" s="606"/>
      <c r="C737" s="606"/>
      <c r="D737" s="606"/>
      <c r="E737" s="606"/>
      <c r="F737" s="606"/>
      <c r="G737" s="606"/>
      <c r="H737" s="607"/>
      <c r="I737" s="606"/>
      <c r="J737" s="606"/>
      <c r="K737" s="606"/>
      <c r="L737" s="606"/>
      <c r="M737" s="606"/>
      <c r="N737" s="608"/>
      <c r="O737" s="608"/>
      <c r="P737" s="608"/>
      <c r="Q737" s="608"/>
    </row>
    <row r="738" spans="2:17" ht="27.75" customHeight="1" x14ac:dyDescent="0.25">
      <c r="B738" s="606"/>
      <c r="C738" s="606"/>
      <c r="D738" s="606"/>
      <c r="E738" s="606"/>
      <c r="F738" s="606"/>
      <c r="G738" s="606"/>
      <c r="H738" s="607"/>
      <c r="I738" s="606"/>
      <c r="J738" s="606"/>
      <c r="K738" s="606"/>
      <c r="L738" s="606"/>
      <c r="M738" s="606"/>
      <c r="N738" s="608"/>
      <c r="O738" s="608"/>
      <c r="P738" s="608"/>
      <c r="Q738" s="608"/>
    </row>
    <row r="739" spans="2:17" ht="27.75" customHeight="1" x14ac:dyDescent="0.25">
      <c r="B739" s="606"/>
      <c r="C739" s="606"/>
      <c r="D739" s="606"/>
      <c r="E739" s="606"/>
      <c r="F739" s="606"/>
      <c r="G739" s="606"/>
      <c r="H739" s="607"/>
      <c r="I739" s="606"/>
      <c r="J739" s="606"/>
      <c r="K739" s="606"/>
      <c r="L739" s="606"/>
      <c r="M739" s="606"/>
      <c r="N739" s="608"/>
      <c r="O739" s="608"/>
      <c r="P739" s="608"/>
      <c r="Q739" s="608"/>
    </row>
    <row r="740" spans="2:17" ht="27.75" customHeight="1" x14ac:dyDescent="0.25">
      <c r="B740" s="606"/>
      <c r="C740" s="606"/>
      <c r="D740" s="606"/>
      <c r="E740" s="606"/>
      <c r="F740" s="606"/>
      <c r="G740" s="606"/>
      <c r="H740" s="607"/>
      <c r="I740" s="606"/>
      <c r="J740" s="606"/>
      <c r="K740" s="606"/>
      <c r="L740" s="606"/>
      <c r="M740" s="606"/>
      <c r="N740" s="608"/>
      <c r="O740" s="608"/>
      <c r="P740" s="608"/>
      <c r="Q740" s="608"/>
    </row>
    <row r="741" spans="2:17" ht="27.75" customHeight="1" x14ac:dyDescent="0.25">
      <c r="B741" s="606"/>
      <c r="C741" s="606"/>
      <c r="D741" s="606"/>
      <c r="E741" s="606"/>
      <c r="F741" s="606"/>
      <c r="G741" s="606"/>
      <c r="H741" s="607"/>
      <c r="I741" s="606"/>
      <c r="J741" s="606"/>
      <c r="K741" s="606"/>
      <c r="L741" s="606"/>
      <c r="M741" s="606"/>
      <c r="N741" s="608"/>
      <c r="O741" s="608"/>
      <c r="P741" s="608"/>
      <c r="Q741" s="608"/>
    </row>
    <row r="742" spans="2:17" ht="27.75" customHeight="1" x14ac:dyDescent="0.25">
      <c r="B742" s="606"/>
      <c r="C742" s="606"/>
      <c r="D742" s="606"/>
      <c r="E742" s="606"/>
      <c r="F742" s="606"/>
      <c r="G742" s="606"/>
      <c r="H742" s="607"/>
      <c r="I742" s="606"/>
      <c r="J742" s="606"/>
      <c r="K742" s="606"/>
      <c r="L742" s="606"/>
      <c r="M742" s="606"/>
      <c r="N742" s="608"/>
      <c r="O742" s="608"/>
      <c r="P742" s="608"/>
      <c r="Q742" s="608"/>
    </row>
    <row r="743" spans="2:17" ht="27.75" customHeight="1" x14ac:dyDescent="0.25">
      <c r="B743" s="606"/>
      <c r="C743" s="606"/>
      <c r="D743" s="606"/>
      <c r="E743" s="606"/>
      <c r="F743" s="606"/>
      <c r="G743" s="606"/>
      <c r="H743" s="607"/>
      <c r="I743" s="606"/>
      <c r="J743" s="606"/>
      <c r="K743" s="606"/>
      <c r="L743" s="606"/>
      <c r="M743" s="606"/>
      <c r="N743" s="608"/>
      <c r="O743" s="608"/>
      <c r="P743" s="608"/>
      <c r="Q743" s="608"/>
    </row>
    <row r="744" spans="2:17" ht="27.75" customHeight="1" x14ac:dyDescent="0.25">
      <c r="B744" s="606"/>
      <c r="C744" s="606"/>
      <c r="D744" s="606"/>
      <c r="E744" s="606"/>
      <c r="F744" s="606"/>
      <c r="G744" s="606"/>
      <c r="H744" s="607"/>
      <c r="I744" s="606"/>
      <c r="J744" s="606"/>
      <c r="K744" s="606"/>
      <c r="L744" s="606"/>
      <c r="M744" s="606"/>
      <c r="N744" s="608"/>
      <c r="O744" s="608"/>
      <c r="P744" s="608"/>
      <c r="Q744" s="608"/>
    </row>
    <row r="745" spans="2:17" ht="27.75" customHeight="1" x14ac:dyDescent="0.25">
      <c r="B745" s="606"/>
      <c r="C745" s="606"/>
      <c r="D745" s="606"/>
      <c r="E745" s="606"/>
      <c r="F745" s="606"/>
      <c r="G745" s="606"/>
      <c r="H745" s="607"/>
      <c r="I745" s="606"/>
      <c r="J745" s="606"/>
      <c r="K745" s="606"/>
      <c r="L745" s="606"/>
      <c r="M745" s="606"/>
      <c r="N745" s="608"/>
      <c r="O745" s="608"/>
      <c r="P745" s="608"/>
      <c r="Q745" s="608"/>
    </row>
    <row r="746" spans="2:17" ht="27.75" customHeight="1" x14ac:dyDescent="0.25">
      <c r="B746" s="606"/>
      <c r="C746" s="606"/>
      <c r="D746" s="606"/>
      <c r="E746" s="606"/>
      <c r="F746" s="606"/>
      <c r="G746" s="606"/>
      <c r="H746" s="607"/>
      <c r="I746" s="606"/>
      <c r="J746" s="606"/>
      <c r="K746" s="606"/>
      <c r="L746" s="606"/>
      <c r="M746" s="606"/>
      <c r="N746" s="608"/>
      <c r="O746" s="608"/>
      <c r="P746" s="608"/>
      <c r="Q746" s="608"/>
    </row>
    <row r="747" spans="2:17" ht="27.75" customHeight="1" x14ac:dyDescent="0.25">
      <c r="B747" s="606"/>
      <c r="C747" s="606"/>
      <c r="D747" s="606"/>
      <c r="E747" s="606"/>
      <c r="F747" s="606"/>
      <c r="G747" s="606"/>
      <c r="H747" s="607"/>
      <c r="I747" s="606"/>
      <c r="J747" s="606"/>
      <c r="K747" s="606"/>
      <c r="L747" s="606"/>
      <c r="M747" s="606"/>
      <c r="N747" s="608"/>
      <c r="O747" s="608"/>
      <c r="P747" s="608"/>
      <c r="Q747" s="608"/>
    </row>
    <row r="748" spans="2:17" ht="27.75" customHeight="1" x14ac:dyDescent="0.25">
      <c r="B748" s="606"/>
      <c r="C748" s="606"/>
      <c r="D748" s="606"/>
      <c r="E748" s="606"/>
      <c r="F748" s="606"/>
      <c r="G748" s="606"/>
      <c r="H748" s="607"/>
      <c r="I748" s="606"/>
      <c r="J748" s="606"/>
      <c r="K748" s="606"/>
      <c r="L748" s="606"/>
      <c r="M748" s="606"/>
      <c r="N748" s="608"/>
      <c r="O748" s="608"/>
      <c r="P748" s="608"/>
      <c r="Q748" s="608"/>
    </row>
    <row r="749" spans="2:17" ht="27.75" customHeight="1" x14ac:dyDescent="0.25">
      <c r="B749" s="606"/>
      <c r="C749" s="606"/>
      <c r="D749" s="606"/>
      <c r="E749" s="606"/>
      <c r="F749" s="606"/>
      <c r="G749" s="606"/>
      <c r="H749" s="607"/>
      <c r="I749" s="606"/>
      <c r="J749" s="606"/>
      <c r="K749" s="606"/>
      <c r="L749" s="606"/>
      <c r="M749" s="606"/>
      <c r="N749" s="608"/>
      <c r="O749" s="608"/>
      <c r="P749" s="608"/>
      <c r="Q749" s="608"/>
    </row>
    <row r="750" spans="2:17" ht="27.75" customHeight="1" x14ac:dyDescent="0.25">
      <c r="B750" s="606"/>
      <c r="C750" s="606"/>
      <c r="D750" s="606"/>
      <c r="E750" s="606"/>
      <c r="F750" s="606"/>
      <c r="G750" s="606"/>
      <c r="H750" s="607"/>
      <c r="I750" s="606"/>
      <c r="J750" s="606"/>
      <c r="K750" s="606"/>
      <c r="L750" s="606"/>
      <c r="M750" s="606"/>
      <c r="N750" s="608"/>
      <c r="O750" s="608"/>
      <c r="P750" s="608"/>
      <c r="Q750" s="608"/>
    </row>
    <row r="751" spans="2:17" ht="27.75" customHeight="1" x14ac:dyDescent="0.25">
      <c r="B751" s="606"/>
      <c r="C751" s="606"/>
      <c r="D751" s="606"/>
      <c r="E751" s="606"/>
      <c r="F751" s="606"/>
      <c r="G751" s="606"/>
      <c r="H751" s="607"/>
      <c r="I751" s="606"/>
      <c r="J751" s="606"/>
      <c r="K751" s="606"/>
      <c r="L751" s="606"/>
      <c r="M751" s="606"/>
      <c r="N751" s="608"/>
      <c r="O751" s="608"/>
      <c r="P751" s="608"/>
      <c r="Q751" s="608"/>
    </row>
    <row r="752" spans="2:17" ht="27.75" customHeight="1" x14ac:dyDescent="0.25">
      <c r="B752" s="606"/>
      <c r="C752" s="606"/>
      <c r="D752" s="606"/>
      <c r="E752" s="606"/>
      <c r="F752" s="606"/>
      <c r="G752" s="606"/>
      <c r="H752" s="607"/>
      <c r="I752" s="606"/>
      <c r="J752" s="606"/>
      <c r="K752" s="606"/>
      <c r="L752" s="606"/>
      <c r="M752" s="606"/>
      <c r="N752" s="608"/>
      <c r="O752" s="608"/>
      <c r="P752" s="608"/>
      <c r="Q752" s="608"/>
    </row>
    <row r="753" spans="2:17" ht="27.75" customHeight="1" x14ac:dyDescent="0.25">
      <c r="B753" s="606"/>
      <c r="C753" s="606"/>
      <c r="D753" s="606"/>
      <c r="E753" s="606"/>
      <c r="F753" s="606"/>
      <c r="G753" s="606"/>
      <c r="H753" s="607"/>
      <c r="I753" s="606"/>
      <c r="J753" s="606"/>
      <c r="K753" s="606"/>
      <c r="L753" s="606"/>
      <c r="M753" s="606"/>
      <c r="N753" s="608"/>
      <c r="O753" s="608"/>
      <c r="P753" s="608"/>
      <c r="Q753" s="608"/>
    </row>
    <row r="754" spans="2:17" ht="27.75" customHeight="1" x14ac:dyDescent="0.25">
      <c r="B754" s="606"/>
      <c r="C754" s="606"/>
      <c r="D754" s="606"/>
      <c r="E754" s="606"/>
      <c r="F754" s="606"/>
      <c r="G754" s="606"/>
      <c r="H754" s="607"/>
      <c r="I754" s="606"/>
      <c r="J754" s="606"/>
      <c r="K754" s="606"/>
      <c r="L754" s="606"/>
      <c r="M754" s="606"/>
      <c r="N754" s="608"/>
      <c r="O754" s="608"/>
      <c r="P754" s="608"/>
      <c r="Q754" s="608"/>
    </row>
    <row r="755" spans="2:17" ht="27.75" customHeight="1" x14ac:dyDescent="0.25">
      <c r="B755" s="606"/>
      <c r="C755" s="606"/>
      <c r="D755" s="606"/>
      <c r="E755" s="606"/>
      <c r="F755" s="606"/>
      <c r="G755" s="606"/>
      <c r="H755" s="607"/>
      <c r="I755" s="606"/>
      <c r="J755" s="606"/>
      <c r="K755" s="606"/>
      <c r="L755" s="606"/>
      <c r="M755" s="606"/>
      <c r="N755" s="608"/>
      <c r="O755" s="608"/>
      <c r="P755" s="608"/>
      <c r="Q755" s="608"/>
    </row>
    <row r="756" spans="2:17" ht="27.75" customHeight="1" x14ac:dyDescent="0.25">
      <c r="B756" s="606"/>
      <c r="C756" s="606"/>
      <c r="D756" s="606"/>
      <c r="E756" s="606"/>
      <c r="F756" s="606"/>
      <c r="G756" s="606"/>
      <c r="H756" s="607"/>
      <c r="I756" s="606"/>
      <c r="J756" s="606"/>
      <c r="K756" s="606"/>
      <c r="L756" s="606"/>
      <c r="M756" s="606"/>
      <c r="N756" s="608"/>
      <c r="O756" s="608"/>
      <c r="P756" s="608"/>
      <c r="Q756" s="608"/>
    </row>
    <row r="757" spans="2:17" ht="27.75" customHeight="1" x14ac:dyDescent="0.25">
      <c r="B757" s="606"/>
      <c r="C757" s="606"/>
      <c r="D757" s="606"/>
      <c r="E757" s="606"/>
      <c r="F757" s="606"/>
      <c r="G757" s="606"/>
      <c r="H757" s="607"/>
      <c r="I757" s="606"/>
      <c r="J757" s="606"/>
      <c r="K757" s="606"/>
      <c r="L757" s="606"/>
      <c r="M757" s="606"/>
      <c r="N757" s="608"/>
      <c r="O757" s="608"/>
      <c r="P757" s="608"/>
      <c r="Q757" s="608"/>
    </row>
    <row r="758" spans="2:17" ht="27.75" customHeight="1" x14ac:dyDescent="0.25">
      <c r="B758" s="606"/>
      <c r="C758" s="606"/>
      <c r="D758" s="606"/>
      <c r="E758" s="606"/>
      <c r="F758" s="606"/>
      <c r="G758" s="606"/>
      <c r="H758" s="607"/>
      <c r="I758" s="606"/>
      <c r="J758" s="606"/>
      <c r="K758" s="606"/>
      <c r="L758" s="606"/>
      <c r="M758" s="606"/>
      <c r="N758" s="608"/>
      <c r="O758" s="608"/>
      <c r="P758" s="608"/>
      <c r="Q758" s="608"/>
    </row>
    <row r="759" spans="2:17" ht="27.75" customHeight="1" x14ac:dyDescent="0.25">
      <c r="B759" s="606"/>
      <c r="C759" s="606"/>
      <c r="D759" s="606"/>
      <c r="E759" s="606"/>
      <c r="F759" s="606"/>
      <c r="G759" s="606"/>
      <c r="H759" s="607"/>
      <c r="I759" s="606"/>
      <c r="J759" s="606"/>
      <c r="K759" s="606"/>
      <c r="L759" s="606"/>
      <c r="M759" s="606"/>
      <c r="N759" s="608"/>
      <c r="O759" s="608"/>
      <c r="P759" s="608"/>
      <c r="Q759" s="608"/>
    </row>
    <row r="760" spans="2:17" ht="27.75" customHeight="1" x14ac:dyDescent="0.25">
      <c r="B760" s="606"/>
      <c r="C760" s="606"/>
      <c r="D760" s="606"/>
      <c r="E760" s="606"/>
      <c r="F760" s="606"/>
      <c r="G760" s="606"/>
      <c r="H760" s="607"/>
      <c r="I760" s="606"/>
      <c r="J760" s="606"/>
      <c r="K760" s="606"/>
      <c r="L760" s="606"/>
      <c r="M760" s="606"/>
      <c r="N760" s="608"/>
      <c r="O760" s="608"/>
      <c r="P760" s="608"/>
      <c r="Q760" s="608"/>
    </row>
    <row r="761" spans="2:17" ht="27.75" customHeight="1" x14ac:dyDescent="0.25">
      <c r="B761" s="606"/>
      <c r="C761" s="606"/>
      <c r="D761" s="606"/>
      <c r="E761" s="606"/>
      <c r="F761" s="606"/>
      <c r="G761" s="606"/>
      <c r="H761" s="607"/>
      <c r="I761" s="606"/>
      <c r="J761" s="606"/>
      <c r="K761" s="606"/>
      <c r="L761" s="606"/>
      <c r="M761" s="606"/>
      <c r="N761" s="608"/>
      <c r="O761" s="608"/>
      <c r="P761" s="608"/>
      <c r="Q761" s="608"/>
    </row>
    <row r="762" spans="2:17" ht="27.75" customHeight="1" x14ac:dyDescent="0.25">
      <c r="B762" s="606"/>
      <c r="C762" s="606"/>
      <c r="D762" s="606"/>
      <c r="E762" s="606"/>
      <c r="F762" s="606"/>
      <c r="G762" s="606"/>
      <c r="H762" s="607"/>
      <c r="I762" s="606"/>
      <c r="J762" s="606"/>
      <c r="K762" s="606"/>
      <c r="L762" s="606"/>
      <c r="M762" s="606"/>
      <c r="N762" s="608"/>
      <c r="O762" s="608"/>
      <c r="P762" s="608"/>
      <c r="Q762" s="608"/>
    </row>
    <row r="763" spans="2:17" ht="27.75" customHeight="1" x14ac:dyDescent="0.25">
      <c r="B763" s="606"/>
      <c r="C763" s="606"/>
      <c r="D763" s="606"/>
      <c r="E763" s="606"/>
      <c r="F763" s="606"/>
      <c r="G763" s="606"/>
      <c r="H763" s="607"/>
      <c r="I763" s="606"/>
      <c r="J763" s="606"/>
      <c r="K763" s="606"/>
      <c r="L763" s="606"/>
      <c r="M763" s="606"/>
      <c r="N763" s="608"/>
      <c r="O763" s="608"/>
      <c r="P763" s="608"/>
      <c r="Q763" s="608"/>
    </row>
    <row r="764" spans="2:17" ht="27.75" customHeight="1" x14ac:dyDescent="0.25">
      <c r="B764" s="606"/>
      <c r="C764" s="606"/>
      <c r="D764" s="606"/>
      <c r="E764" s="606"/>
      <c r="F764" s="606"/>
      <c r="G764" s="606"/>
      <c r="H764" s="607"/>
      <c r="I764" s="606"/>
      <c r="J764" s="606"/>
      <c r="K764" s="606"/>
      <c r="L764" s="606"/>
      <c r="M764" s="606"/>
      <c r="N764" s="608"/>
      <c r="O764" s="608"/>
      <c r="P764" s="608"/>
      <c r="Q764" s="608"/>
    </row>
    <row r="765" spans="2:17" ht="27.75" customHeight="1" x14ac:dyDescent="0.25">
      <c r="B765" s="606"/>
      <c r="C765" s="606"/>
      <c r="D765" s="606"/>
      <c r="E765" s="606"/>
      <c r="F765" s="606"/>
      <c r="G765" s="606"/>
      <c r="H765" s="607"/>
      <c r="I765" s="606"/>
      <c r="J765" s="606"/>
      <c r="K765" s="606"/>
      <c r="L765" s="606"/>
      <c r="M765" s="606"/>
      <c r="N765" s="608"/>
      <c r="O765" s="608"/>
      <c r="P765" s="608"/>
      <c r="Q765" s="608"/>
    </row>
    <row r="766" spans="2:17" ht="27.75" customHeight="1" x14ac:dyDescent="0.25">
      <c r="B766" s="606"/>
      <c r="C766" s="606"/>
      <c r="D766" s="606"/>
      <c r="E766" s="606"/>
      <c r="F766" s="606"/>
      <c r="G766" s="606"/>
      <c r="H766" s="607"/>
      <c r="I766" s="606"/>
      <c r="J766" s="606"/>
      <c r="K766" s="606"/>
      <c r="L766" s="606"/>
      <c r="M766" s="606"/>
      <c r="N766" s="608"/>
      <c r="O766" s="608"/>
      <c r="P766" s="608"/>
      <c r="Q766" s="608"/>
    </row>
    <row r="767" spans="2:17" ht="27.75" customHeight="1" x14ac:dyDescent="0.25">
      <c r="B767" s="606"/>
      <c r="C767" s="606"/>
      <c r="D767" s="606"/>
      <c r="E767" s="606"/>
      <c r="F767" s="606"/>
      <c r="G767" s="606"/>
      <c r="H767" s="607"/>
      <c r="I767" s="606"/>
      <c r="J767" s="606"/>
      <c r="K767" s="606"/>
      <c r="L767" s="606"/>
      <c r="M767" s="606"/>
      <c r="N767" s="608"/>
      <c r="O767" s="608"/>
      <c r="P767" s="608"/>
      <c r="Q767" s="608"/>
    </row>
    <row r="768" spans="2:17" ht="27.75" customHeight="1" x14ac:dyDescent="0.25">
      <c r="B768" s="606"/>
      <c r="C768" s="606"/>
      <c r="D768" s="606"/>
      <c r="E768" s="606"/>
      <c r="F768" s="606"/>
      <c r="G768" s="606"/>
      <c r="H768" s="607"/>
      <c r="I768" s="606"/>
      <c r="J768" s="606"/>
      <c r="K768" s="606"/>
      <c r="L768" s="606"/>
      <c r="M768" s="606"/>
      <c r="N768" s="608"/>
      <c r="O768" s="608"/>
      <c r="P768" s="608"/>
      <c r="Q768" s="608"/>
    </row>
    <row r="769" spans="2:17" ht="27.75" customHeight="1" x14ac:dyDescent="0.25">
      <c r="B769" s="606"/>
      <c r="C769" s="606"/>
      <c r="D769" s="606"/>
      <c r="E769" s="606"/>
      <c r="F769" s="606"/>
      <c r="G769" s="606"/>
      <c r="H769" s="607"/>
      <c r="I769" s="606"/>
      <c r="J769" s="606"/>
      <c r="K769" s="606"/>
      <c r="L769" s="606"/>
      <c r="M769" s="606"/>
      <c r="N769" s="608"/>
      <c r="O769" s="608"/>
      <c r="P769" s="608"/>
      <c r="Q769" s="608"/>
    </row>
    <row r="770" spans="2:17" ht="27.75" customHeight="1" x14ac:dyDescent="0.25">
      <c r="B770" s="606"/>
      <c r="C770" s="606"/>
      <c r="D770" s="606"/>
      <c r="E770" s="606"/>
      <c r="F770" s="606"/>
      <c r="G770" s="606"/>
      <c r="H770" s="607"/>
      <c r="I770" s="606"/>
      <c r="J770" s="606"/>
      <c r="K770" s="606"/>
      <c r="L770" s="606"/>
      <c r="M770" s="606"/>
      <c r="N770" s="608"/>
      <c r="O770" s="608"/>
      <c r="P770" s="608"/>
      <c r="Q770" s="608"/>
    </row>
    <row r="771" spans="2:17" ht="27.75" customHeight="1" x14ac:dyDescent="0.25">
      <c r="B771" s="606"/>
      <c r="C771" s="606"/>
      <c r="D771" s="606"/>
      <c r="E771" s="606"/>
      <c r="F771" s="606"/>
      <c r="G771" s="606"/>
      <c r="H771" s="607"/>
      <c r="I771" s="606"/>
      <c r="J771" s="606"/>
      <c r="K771" s="606"/>
      <c r="L771" s="606"/>
      <c r="M771" s="606"/>
      <c r="N771" s="608"/>
      <c r="O771" s="608"/>
      <c r="P771" s="608"/>
      <c r="Q771" s="608"/>
    </row>
    <row r="772" spans="2:17" ht="27.75" customHeight="1" x14ac:dyDescent="0.25">
      <c r="B772" s="606"/>
      <c r="C772" s="606"/>
      <c r="D772" s="606"/>
      <c r="E772" s="606"/>
      <c r="F772" s="606"/>
      <c r="G772" s="606"/>
      <c r="H772" s="607"/>
      <c r="I772" s="606"/>
      <c r="J772" s="606"/>
      <c r="K772" s="606"/>
      <c r="L772" s="606"/>
      <c r="M772" s="606"/>
      <c r="N772" s="608"/>
      <c r="O772" s="608"/>
      <c r="P772" s="608"/>
      <c r="Q772" s="608"/>
    </row>
    <row r="773" spans="2:17" ht="27.75" customHeight="1" x14ac:dyDescent="0.25">
      <c r="B773" s="606"/>
      <c r="C773" s="606"/>
      <c r="D773" s="606"/>
      <c r="E773" s="606"/>
      <c r="F773" s="606"/>
      <c r="G773" s="606"/>
      <c r="H773" s="607"/>
      <c r="I773" s="606"/>
      <c r="J773" s="606"/>
      <c r="K773" s="606"/>
      <c r="L773" s="606"/>
      <c r="M773" s="606"/>
      <c r="N773" s="608"/>
      <c r="O773" s="608"/>
      <c r="P773" s="608"/>
      <c r="Q773" s="608"/>
    </row>
    <row r="774" spans="2:17" ht="27.75" customHeight="1" x14ac:dyDescent="0.25">
      <c r="B774" s="606"/>
      <c r="C774" s="606"/>
      <c r="D774" s="606"/>
      <c r="E774" s="606"/>
      <c r="F774" s="606"/>
      <c r="G774" s="606"/>
      <c r="H774" s="607"/>
      <c r="I774" s="606"/>
      <c r="J774" s="606"/>
      <c r="K774" s="606"/>
      <c r="L774" s="606"/>
      <c r="M774" s="606"/>
      <c r="N774" s="608"/>
      <c r="O774" s="608"/>
      <c r="P774" s="608"/>
      <c r="Q774" s="608"/>
    </row>
    <row r="775" spans="2:17" ht="27.75" customHeight="1" x14ac:dyDescent="0.25">
      <c r="B775" s="606"/>
      <c r="C775" s="606"/>
      <c r="D775" s="606"/>
      <c r="E775" s="606"/>
      <c r="F775" s="606"/>
      <c r="G775" s="606"/>
      <c r="H775" s="607"/>
      <c r="I775" s="606"/>
      <c r="J775" s="606"/>
      <c r="K775" s="606"/>
      <c r="L775" s="606"/>
      <c r="M775" s="606"/>
      <c r="N775" s="608"/>
      <c r="O775" s="608"/>
      <c r="P775" s="608"/>
      <c r="Q775" s="608"/>
    </row>
    <row r="776" spans="2:17" ht="27.75" customHeight="1" x14ac:dyDescent="0.25">
      <c r="B776" s="606"/>
      <c r="C776" s="606"/>
      <c r="D776" s="606"/>
      <c r="E776" s="606"/>
      <c r="F776" s="606"/>
      <c r="G776" s="606"/>
      <c r="H776" s="607"/>
      <c r="I776" s="606"/>
      <c r="J776" s="606"/>
      <c r="K776" s="606"/>
      <c r="L776" s="606"/>
      <c r="M776" s="606"/>
      <c r="N776" s="608"/>
      <c r="O776" s="608"/>
      <c r="P776" s="608"/>
      <c r="Q776" s="608"/>
    </row>
    <row r="777" spans="2:17" ht="27.75" customHeight="1" x14ac:dyDescent="0.25">
      <c r="B777" s="606"/>
      <c r="C777" s="606"/>
      <c r="D777" s="606"/>
      <c r="E777" s="606"/>
      <c r="F777" s="606"/>
      <c r="G777" s="606"/>
      <c r="H777" s="607"/>
      <c r="I777" s="606"/>
      <c r="J777" s="606"/>
      <c r="K777" s="606"/>
      <c r="L777" s="606"/>
      <c r="M777" s="606"/>
      <c r="N777" s="608"/>
      <c r="O777" s="608"/>
      <c r="P777" s="608"/>
      <c r="Q777" s="608"/>
    </row>
    <row r="778" spans="2:17" ht="27.75" customHeight="1" x14ac:dyDescent="0.25">
      <c r="B778" s="606"/>
      <c r="C778" s="606"/>
      <c r="D778" s="606"/>
      <c r="E778" s="606"/>
      <c r="F778" s="606"/>
      <c r="G778" s="606"/>
      <c r="H778" s="607"/>
      <c r="I778" s="606"/>
      <c r="J778" s="606"/>
      <c r="K778" s="606"/>
      <c r="L778" s="606"/>
      <c r="M778" s="606"/>
      <c r="N778" s="608"/>
      <c r="O778" s="608"/>
      <c r="P778" s="608"/>
      <c r="Q778" s="608"/>
    </row>
    <row r="779" spans="2:17" ht="27.75" customHeight="1" x14ac:dyDescent="0.25">
      <c r="B779" s="606"/>
      <c r="C779" s="606"/>
      <c r="D779" s="606"/>
      <c r="E779" s="606"/>
      <c r="F779" s="606"/>
      <c r="G779" s="606"/>
      <c r="H779" s="607"/>
      <c r="I779" s="606"/>
      <c r="J779" s="606"/>
      <c r="K779" s="606"/>
      <c r="L779" s="606"/>
      <c r="M779" s="606"/>
      <c r="N779" s="608"/>
      <c r="O779" s="608"/>
      <c r="P779" s="608"/>
      <c r="Q779" s="608"/>
    </row>
    <row r="780" spans="2:17" ht="27.75" customHeight="1" x14ac:dyDescent="0.25">
      <c r="B780" s="606"/>
      <c r="C780" s="606"/>
      <c r="D780" s="606"/>
      <c r="E780" s="606"/>
      <c r="F780" s="606"/>
      <c r="G780" s="606"/>
      <c r="H780" s="607"/>
      <c r="I780" s="606"/>
      <c r="J780" s="606"/>
      <c r="K780" s="606"/>
      <c r="L780" s="606"/>
      <c r="M780" s="606"/>
      <c r="N780" s="608"/>
      <c r="O780" s="608"/>
      <c r="P780" s="608"/>
      <c r="Q780" s="608"/>
    </row>
    <row r="781" spans="2:17" ht="27.75" customHeight="1" x14ac:dyDescent="0.25">
      <c r="B781" s="606"/>
      <c r="C781" s="606"/>
      <c r="D781" s="606"/>
      <c r="E781" s="606"/>
      <c r="F781" s="606"/>
      <c r="G781" s="606"/>
      <c r="H781" s="607"/>
      <c r="I781" s="606"/>
      <c r="J781" s="606"/>
      <c r="K781" s="606"/>
      <c r="L781" s="606"/>
      <c r="M781" s="606"/>
      <c r="N781" s="608"/>
      <c r="O781" s="608"/>
      <c r="P781" s="608"/>
      <c r="Q781" s="608"/>
    </row>
    <row r="782" spans="2:17" ht="27.75" customHeight="1" x14ac:dyDescent="0.25">
      <c r="B782" s="606"/>
      <c r="C782" s="606"/>
      <c r="D782" s="606"/>
      <c r="E782" s="606"/>
      <c r="F782" s="606"/>
      <c r="G782" s="606"/>
      <c r="H782" s="607"/>
      <c r="I782" s="606"/>
      <c r="J782" s="606"/>
      <c r="K782" s="606"/>
      <c r="L782" s="606"/>
      <c r="M782" s="606"/>
      <c r="N782" s="608"/>
      <c r="O782" s="608"/>
      <c r="P782" s="608"/>
      <c r="Q782" s="608"/>
    </row>
    <row r="783" spans="2:17" ht="27.75" customHeight="1" x14ac:dyDescent="0.25">
      <c r="B783" s="606"/>
      <c r="C783" s="606"/>
      <c r="D783" s="606"/>
      <c r="E783" s="606"/>
      <c r="F783" s="606"/>
      <c r="G783" s="606"/>
      <c r="H783" s="607"/>
      <c r="I783" s="606"/>
      <c r="J783" s="606"/>
      <c r="K783" s="606"/>
      <c r="L783" s="606"/>
      <c r="M783" s="606"/>
      <c r="N783" s="608"/>
      <c r="O783" s="608"/>
      <c r="P783" s="608"/>
      <c r="Q783" s="608"/>
    </row>
    <row r="784" spans="2:17" ht="27.75" customHeight="1" x14ac:dyDescent="0.25">
      <c r="B784" s="606"/>
      <c r="C784" s="606"/>
      <c r="D784" s="606"/>
      <c r="E784" s="606"/>
      <c r="F784" s="606"/>
      <c r="G784" s="606"/>
      <c r="H784" s="607"/>
      <c r="I784" s="606"/>
      <c r="J784" s="606"/>
      <c r="K784" s="606"/>
      <c r="L784" s="606"/>
      <c r="M784" s="606"/>
      <c r="N784" s="608"/>
      <c r="O784" s="608"/>
      <c r="P784" s="608"/>
      <c r="Q784" s="608"/>
    </row>
    <row r="785" spans="2:17" ht="27.75" customHeight="1" x14ac:dyDescent="0.25">
      <c r="B785" s="606"/>
      <c r="C785" s="606"/>
      <c r="D785" s="606"/>
      <c r="E785" s="606"/>
      <c r="F785" s="606"/>
      <c r="G785" s="606"/>
      <c r="H785" s="607"/>
      <c r="I785" s="606"/>
      <c r="J785" s="606"/>
      <c r="K785" s="606"/>
      <c r="L785" s="606"/>
      <c r="M785" s="606"/>
      <c r="N785" s="608"/>
      <c r="O785" s="608"/>
      <c r="P785" s="608"/>
      <c r="Q785" s="608"/>
    </row>
    <row r="786" spans="2:17" ht="27.75" customHeight="1" x14ac:dyDescent="0.25">
      <c r="B786" s="606"/>
      <c r="C786" s="606"/>
      <c r="D786" s="606"/>
      <c r="E786" s="606"/>
      <c r="F786" s="606"/>
      <c r="G786" s="606"/>
      <c r="H786" s="607"/>
      <c r="I786" s="606"/>
      <c r="J786" s="606"/>
      <c r="K786" s="606"/>
      <c r="L786" s="606"/>
      <c r="M786" s="606"/>
      <c r="N786" s="608"/>
      <c r="O786" s="608"/>
      <c r="P786" s="608"/>
      <c r="Q786" s="608"/>
    </row>
    <row r="787" spans="2:17" ht="27.75" customHeight="1" x14ac:dyDescent="0.25">
      <c r="B787" s="606"/>
      <c r="C787" s="606"/>
      <c r="D787" s="606"/>
      <c r="E787" s="606"/>
      <c r="F787" s="606"/>
      <c r="G787" s="606"/>
      <c r="H787" s="607"/>
      <c r="I787" s="606"/>
      <c r="J787" s="606"/>
      <c r="K787" s="606"/>
      <c r="L787" s="606"/>
      <c r="M787" s="606"/>
      <c r="N787" s="608"/>
      <c r="O787" s="608"/>
      <c r="P787" s="608"/>
      <c r="Q787" s="608"/>
    </row>
    <row r="788" spans="2:17" ht="27.75" customHeight="1" x14ac:dyDescent="0.25">
      <c r="B788" s="606"/>
      <c r="C788" s="606"/>
      <c r="D788" s="606"/>
      <c r="E788" s="606"/>
      <c r="F788" s="606"/>
      <c r="G788" s="606"/>
      <c r="H788" s="607"/>
      <c r="I788" s="606"/>
      <c r="J788" s="606"/>
      <c r="K788" s="606"/>
      <c r="L788" s="606"/>
      <c r="M788" s="606"/>
      <c r="N788" s="608"/>
      <c r="O788" s="608"/>
      <c r="P788" s="608"/>
      <c r="Q788" s="608"/>
    </row>
    <row r="789" spans="2:17" ht="27.75" customHeight="1" x14ac:dyDescent="0.25">
      <c r="B789" s="606"/>
      <c r="C789" s="606"/>
      <c r="D789" s="606"/>
      <c r="E789" s="606"/>
      <c r="F789" s="606"/>
      <c r="G789" s="606"/>
      <c r="H789" s="607"/>
      <c r="I789" s="606"/>
      <c r="J789" s="606"/>
      <c r="K789" s="606"/>
      <c r="L789" s="606"/>
      <c r="M789" s="606"/>
      <c r="N789" s="608"/>
      <c r="O789" s="608"/>
      <c r="P789" s="608"/>
      <c r="Q789" s="608"/>
    </row>
    <row r="790" spans="2:17" ht="27.75" customHeight="1" x14ac:dyDescent="0.25">
      <c r="B790" s="606"/>
      <c r="C790" s="606"/>
      <c r="D790" s="606"/>
      <c r="E790" s="606"/>
      <c r="F790" s="606"/>
      <c r="G790" s="606"/>
      <c r="H790" s="607"/>
      <c r="I790" s="606"/>
      <c r="J790" s="606"/>
      <c r="K790" s="606"/>
      <c r="L790" s="606"/>
      <c r="M790" s="606"/>
      <c r="N790" s="608"/>
      <c r="O790" s="608"/>
      <c r="P790" s="608"/>
      <c r="Q790" s="608"/>
    </row>
    <row r="791" spans="2:17" ht="27.75" customHeight="1" x14ac:dyDescent="0.25">
      <c r="B791" s="606"/>
      <c r="C791" s="606"/>
      <c r="D791" s="606"/>
      <c r="E791" s="606"/>
      <c r="F791" s="606"/>
      <c r="G791" s="606"/>
      <c r="H791" s="607"/>
      <c r="I791" s="606"/>
      <c r="J791" s="606"/>
      <c r="K791" s="606"/>
      <c r="L791" s="606"/>
      <c r="M791" s="606"/>
      <c r="N791" s="608"/>
      <c r="O791" s="608"/>
      <c r="P791" s="608"/>
      <c r="Q791" s="608"/>
    </row>
    <row r="792" spans="2:17" ht="27.75" customHeight="1" x14ac:dyDescent="0.25">
      <c r="B792" s="606"/>
      <c r="C792" s="606"/>
      <c r="D792" s="606"/>
      <c r="E792" s="606"/>
      <c r="F792" s="606"/>
      <c r="G792" s="606"/>
      <c r="H792" s="607"/>
      <c r="I792" s="606"/>
      <c r="J792" s="606"/>
      <c r="K792" s="606"/>
      <c r="L792" s="606"/>
      <c r="M792" s="606"/>
      <c r="N792" s="608"/>
      <c r="O792" s="608"/>
      <c r="P792" s="608"/>
      <c r="Q792" s="608"/>
    </row>
    <row r="793" spans="2:17" ht="27.75" customHeight="1" x14ac:dyDescent="0.25">
      <c r="B793" s="606"/>
      <c r="C793" s="606"/>
      <c r="D793" s="606"/>
      <c r="E793" s="606"/>
      <c r="F793" s="606"/>
      <c r="G793" s="606"/>
      <c r="H793" s="607"/>
      <c r="I793" s="606"/>
      <c r="J793" s="606"/>
      <c r="K793" s="606"/>
      <c r="L793" s="606"/>
      <c r="M793" s="606"/>
      <c r="N793" s="608"/>
      <c r="O793" s="608"/>
      <c r="P793" s="608"/>
      <c r="Q793" s="608"/>
    </row>
    <row r="794" spans="2:17" ht="27.75" customHeight="1" x14ac:dyDescent="0.25">
      <c r="B794" s="606"/>
      <c r="C794" s="606"/>
      <c r="D794" s="606"/>
      <c r="E794" s="606"/>
      <c r="F794" s="606"/>
      <c r="G794" s="606"/>
      <c r="H794" s="607"/>
      <c r="I794" s="606"/>
      <c r="J794" s="606"/>
      <c r="K794" s="606"/>
      <c r="L794" s="606"/>
      <c r="M794" s="606"/>
      <c r="N794" s="608"/>
      <c r="O794" s="608"/>
      <c r="P794" s="608"/>
      <c r="Q794" s="608"/>
    </row>
    <row r="795" spans="2:17" ht="27.75" customHeight="1" x14ac:dyDescent="0.25">
      <c r="B795" s="606"/>
      <c r="C795" s="606"/>
      <c r="D795" s="606"/>
      <c r="E795" s="606"/>
      <c r="F795" s="606"/>
      <c r="G795" s="606"/>
      <c r="H795" s="607"/>
      <c r="I795" s="606"/>
      <c r="J795" s="606"/>
      <c r="K795" s="606"/>
      <c r="L795" s="606"/>
      <c r="M795" s="606"/>
      <c r="N795" s="608"/>
      <c r="O795" s="608"/>
      <c r="P795" s="608"/>
      <c r="Q795" s="608"/>
    </row>
    <row r="796" spans="2:17" ht="27.75" customHeight="1" x14ac:dyDescent="0.25">
      <c r="B796" s="606"/>
      <c r="C796" s="606"/>
      <c r="D796" s="606"/>
      <c r="E796" s="606"/>
      <c r="F796" s="606"/>
      <c r="G796" s="606"/>
      <c r="H796" s="607"/>
      <c r="I796" s="606"/>
      <c r="J796" s="606"/>
      <c r="K796" s="606"/>
      <c r="L796" s="606"/>
      <c r="M796" s="606"/>
      <c r="N796" s="608"/>
      <c r="O796" s="608"/>
      <c r="P796" s="608"/>
      <c r="Q796" s="608"/>
    </row>
    <row r="797" spans="2:17" ht="27.75" customHeight="1" x14ac:dyDescent="0.25">
      <c r="B797" s="606"/>
      <c r="C797" s="606"/>
      <c r="D797" s="606"/>
      <c r="E797" s="606"/>
      <c r="F797" s="606"/>
      <c r="G797" s="606"/>
      <c r="H797" s="607"/>
      <c r="I797" s="606"/>
      <c r="J797" s="606"/>
      <c r="K797" s="606"/>
      <c r="L797" s="606"/>
      <c r="M797" s="606"/>
      <c r="N797" s="608"/>
      <c r="O797" s="608"/>
      <c r="P797" s="608"/>
      <c r="Q797" s="608"/>
    </row>
    <row r="798" spans="2:17" ht="27.75" customHeight="1" x14ac:dyDescent="0.25">
      <c r="B798" s="606"/>
      <c r="C798" s="606"/>
      <c r="D798" s="606"/>
      <c r="E798" s="606"/>
      <c r="F798" s="606"/>
      <c r="G798" s="606"/>
      <c r="H798" s="607"/>
      <c r="I798" s="606"/>
      <c r="J798" s="606"/>
      <c r="K798" s="606"/>
      <c r="L798" s="606"/>
      <c r="M798" s="606"/>
      <c r="N798" s="608"/>
      <c r="O798" s="608"/>
      <c r="P798" s="608"/>
      <c r="Q798" s="608"/>
    </row>
    <row r="799" spans="2:17" ht="27.75" customHeight="1" x14ac:dyDescent="0.25">
      <c r="B799" s="606"/>
      <c r="C799" s="606"/>
      <c r="D799" s="606"/>
      <c r="E799" s="606"/>
      <c r="F799" s="606"/>
      <c r="G799" s="606"/>
      <c r="H799" s="607"/>
      <c r="I799" s="606"/>
      <c r="J799" s="606"/>
      <c r="K799" s="606"/>
      <c r="L799" s="606"/>
      <c r="M799" s="606"/>
      <c r="N799" s="608"/>
      <c r="O799" s="608"/>
      <c r="P799" s="608"/>
      <c r="Q799" s="608"/>
    </row>
    <row r="800" spans="2:17" ht="27.75" customHeight="1" x14ac:dyDescent="0.25">
      <c r="B800" s="606"/>
      <c r="C800" s="606"/>
      <c r="D800" s="606"/>
      <c r="E800" s="606"/>
      <c r="F800" s="606"/>
      <c r="G800" s="606"/>
      <c r="H800" s="607"/>
      <c r="I800" s="606"/>
      <c r="J800" s="606"/>
      <c r="K800" s="606"/>
      <c r="L800" s="606"/>
      <c r="M800" s="606"/>
      <c r="N800" s="608"/>
      <c r="O800" s="608"/>
      <c r="P800" s="608"/>
      <c r="Q800" s="608"/>
    </row>
    <row r="801" spans="2:17" ht="27.75" customHeight="1" x14ac:dyDescent="0.25">
      <c r="B801" s="606"/>
      <c r="C801" s="606"/>
      <c r="D801" s="606"/>
      <c r="E801" s="606"/>
      <c r="F801" s="606"/>
      <c r="G801" s="606"/>
      <c r="H801" s="607"/>
      <c r="I801" s="606"/>
      <c r="J801" s="606"/>
      <c r="K801" s="606"/>
      <c r="L801" s="606"/>
      <c r="M801" s="606"/>
      <c r="N801" s="608"/>
      <c r="O801" s="608"/>
      <c r="P801" s="608"/>
      <c r="Q801" s="608"/>
    </row>
    <row r="802" spans="2:17" ht="27.75" customHeight="1" x14ac:dyDescent="0.25">
      <c r="B802" s="606"/>
      <c r="C802" s="606"/>
      <c r="D802" s="606"/>
      <c r="E802" s="606"/>
      <c r="F802" s="606"/>
      <c r="G802" s="606"/>
      <c r="H802" s="607"/>
      <c r="I802" s="606"/>
      <c r="J802" s="606"/>
      <c r="K802" s="606"/>
      <c r="L802" s="606"/>
      <c r="M802" s="606"/>
      <c r="N802" s="608"/>
      <c r="O802" s="608"/>
      <c r="P802" s="608"/>
      <c r="Q802" s="608"/>
    </row>
    <row r="803" spans="2:17" ht="27.75" customHeight="1" x14ac:dyDescent="0.25">
      <c r="B803" s="606"/>
      <c r="C803" s="606"/>
      <c r="D803" s="606"/>
      <c r="E803" s="606"/>
      <c r="F803" s="606"/>
      <c r="G803" s="606"/>
      <c r="H803" s="607"/>
      <c r="I803" s="606"/>
      <c r="J803" s="606"/>
      <c r="K803" s="606"/>
      <c r="L803" s="606"/>
      <c r="M803" s="606"/>
      <c r="N803" s="608"/>
      <c r="O803" s="608"/>
      <c r="P803" s="608"/>
      <c r="Q803" s="608"/>
    </row>
    <row r="804" spans="2:17" ht="27.75" customHeight="1" x14ac:dyDescent="0.25">
      <c r="B804" s="606"/>
      <c r="C804" s="606"/>
      <c r="D804" s="606"/>
      <c r="E804" s="606"/>
      <c r="F804" s="606"/>
      <c r="G804" s="606"/>
      <c r="H804" s="607"/>
      <c r="I804" s="606"/>
      <c r="J804" s="606"/>
      <c r="K804" s="606"/>
      <c r="L804" s="606"/>
      <c r="M804" s="606"/>
      <c r="N804" s="608"/>
      <c r="O804" s="608"/>
      <c r="P804" s="608"/>
      <c r="Q804" s="608"/>
    </row>
    <row r="805" spans="2:17" ht="27.75" customHeight="1" x14ac:dyDescent="0.25">
      <c r="B805" s="606"/>
      <c r="C805" s="606"/>
      <c r="D805" s="606"/>
      <c r="E805" s="606"/>
      <c r="F805" s="606"/>
      <c r="G805" s="606"/>
      <c r="H805" s="607"/>
      <c r="I805" s="606"/>
      <c r="J805" s="606"/>
      <c r="K805" s="606"/>
      <c r="L805" s="606"/>
      <c r="M805" s="606"/>
      <c r="N805" s="608"/>
      <c r="O805" s="608"/>
      <c r="P805" s="608"/>
      <c r="Q805" s="608"/>
    </row>
    <row r="806" spans="2:17" ht="27.75" customHeight="1" x14ac:dyDescent="0.25">
      <c r="B806" s="606"/>
      <c r="C806" s="606"/>
      <c r="D806" s="606"/>
      <c r="E806" s="606"/>
      <c r="F806" s="606"/>
      <c r="G806" s="606"/>
      <c r="H806" s="607"/>
      <c r="I806" s="606"/>
      <c r="J806" s="606"/>
      <c r="K806" s="606"/>
      <c r="L806" s="606"/>
      <c r="M806" s="606"/>
      <c r="N806" s="608"/>
      <c r="O806" s="608"/>
      <c r="P806" s="608"/>
      <c r="Q806" s="608"/>
    </row>
    <row r="807" spans="2:17" ht="27.75" customHeight="1" x14ac:dyDescent="0.25">
      <c r="B807" s="606"/>
      <c r="C807" s="606"/>
      <c r="D807" s="606"/>
      <c r="E807" s="606"/>
      <c r="F807" s="606"/>
      <c r="G807" s="606"/>
      <c r="H807" s="607"/>
      <c r="I807" s="606"/>
      <c r="J807" s="606"/>
      <c r="K807" s="606"/>
      <c r="L807" s="606"/>
      <c r="M807" s="606"/>
      <c r="N807" s="608"/>
      <c r="O807" s="608"/>
      <c r="P807" s="608"/>
      <c r="Q807" s="608"/>
    </row>
    <row r="808" spans="2:17" ht="27.75" customHeight="1" x14ac:dyDescent="0.25">
      <c r="B808" s="606"/>
      <c r="C808" s="606"/>
      <c r="D808" s="606"/>
      <c r="E808" s="606"/>
      <c r="F808" s="606"/>
      <c r="G808" s="606"/>
      <c r="H808" s="607"/>
      <c r="I808" s="606"/>
      <c r="J808" s="606"/>
      <c r="K808" s="606"/>
      <c r="L808" s="606"/>
      <c r="M808" s="606"/>
      <c r="N808" s="608"/>
      <c r="O808" s="608"/>
      <c r="P808" s="608"/>
      <c r="Q808" s="608"/>
    </row>
    <row r="809" spans="2:17" ht="27.75" customHeight="1" x14ac:dyDescent="0.25">
      <c r="B809" s="606"/>
      <c r="C809" s="606"/>
      <c r="D809" s="606"/>
      <c r="E809" s="606"/>
      <c r="F809" s="606"/>
      <c r="G809" s="606"/>
      <c r="H809" s="607"/>
      <c r="I809" s="606"/>
      <c r="J809" s="606"/>
      <c r="K809" s="606"/>
      <c r="L809" s="606"/>
      <c r="M809" s="606"/>
      <c r="N809" s="608"/>
      <c r="O809" s="608"/>
      <c r="P809" s="608"/>
      <c r="Q809" s="608"/>
    </row>
    <row r="810" spans="2:17" ht="27.75" customHeight="1" x14ac:dyDescent="0.25">
      <c r="B810" s="606"/>
      <c r="C810" s="606"/>
      <c r="D810" s="606"/>
      <c r="E810" s="606"/>
      <c r="F810" s="606"/>
      <c r="G810" s="606"/>
      <c r="H810" s="607"/>
      <c r="I810" s="606"/>
      <c r="J810" s="606"/>
      <c r="K810" s="606"/>
      <c r="L810" s="606"/>
      <c r="M810" s="606"/>
      <c r="N810" s="608"/>
      <c r="O810" s="608"/>
      <c r="P810" s="608"/>
      <c r="Q810" s="608"/>
    </row>
    <row r="811" spans="2:17" ht="27.75" customHeight="1" x14ac:dyDescent="0.25">
      <c r="B811" s="606"/>
      <c r="C811" s="606"/>
      <c r="D811" s="606"/>
      <c r="E811" s="606"/>
      <c r="F811" s="606"/>
      <c r="G811" s="606"/>
      <c r="H811" s="607"/>
      <c r="I811" s="606"/>
      <c r="J811" s="606"/>
      <c r="K811" s="606"/>
      <c r="L811" s="606"/>
      <c r="M811" s="606"/>
      <c r="N811" s="608"/>
      <c r="O811" s="608"/>
      <c r="P811" s="608"/>
      <c r="Q811" s="608"/>
    </row>
    <row r="812" spans="2:17" ht="27.75" customHeight="1" x14ac:dyDescent="0.25">
      <c r="B812" s="606"/>
      <c r="C812" s="606"/>
      <c r="D812" s="606"/>
      <c r="E812" s="606"/>
      <c r="F812" s="606"/>
      <c r="G812" s="606"/>
      <c r="H812" s="607"/>
      <c r="I812" s="606"/>
      <c r="J812" s="606"/>
      <c r="K812" s="606"/>
      <c r="L812" s="606"/>
      <c r="M812" s="606"/>
      <c r="N812" s="608"/>
      <c r="O812" s="608"/>
      <c r="P812" s="608"/>
      <c r="Q812" s="608"/>
    </row>
    <row r="813" spans="2:17" ht="27.75" customHeight="1" x14ac:dyDescent="0.25">
      <c r="B813" s="606"/>
      <c r="C813" s="606"/>
      <c r="D813" s="606"/>
      <c r="E813" s="606"/>
      <c r="F813" s="606"/>
      <c r="G813" s="606"/>
      <c r="H813" s="607"/>
      <c r="I813" s="606"/>
      <c r="J813" s="606"/>
      <c r="K813" s="606"/>
      <c r="L813" s="606"/>
      <c r="M813" s="606"/>
      <c r="N813" s="608"/>
      <c r="O813" s="608"/>
      <c r="P813" s="608"/>
      <c r="Q813" s="608"/>
    </row>
    <row r="814" spans="2:17" ht="27.75" customHeight="1" x14ac:dyDescent="0.25">
      <c r="B814" s="606"/>
      <c r="C814" s="606"/>
      <c r="D814" s="606"/>
      <c r="E814" s="606"/>
      <c r="F814" s="606"/>
      <c r="G814" s="606"/>
      <c r="H814" s="607"/>
      <c r="I814" s="606"/>
      <c r="J814" s="606"/>
      <c r="K814" s="606"/>
      <c r="L814" s="606"/>
      <c r="M814" s="606"/>
      <c r="N814" s="608"/>
      <c r="O814" s="608"/>
      <c r="P814" s="608"/>
      <c r="Q814" s="608"/>
    </row>
    <row r="815" spans="2:17" ht="27.75" customHeight="1" x14ac:dyDescent="0.25">
      <c r="B815" s="606"/>
      <c r="C815" s="606"/>
      <c r="D815" s="606"/>
      <c r="E815" s="606"/>
      <c r="F815" s="606"/>
      <c r="G815" s="606"/>
      <c r="H815" s="607"/>
      <c r="I815" s="606"/>
      <c r="J815" s="606"/>
      <c r="K815" s="606"/>
      <c r="L815" s="606"/>
      <c r="M815" s="606"/>
      <c r="N815" s="608"/>
      <c r="O815" s="608"/>
      <c r="P815" s="608"/>
      <c r="Q815" s="608"/>
    </row>
    <row r="816" spans="2:17" ht="27.75" customHeight="1" x14ac:dyDescent="0.25">
      <c r="B816" s="606"/>
      <c r="C816" s="606"/>
      <c r="D816" s="606"/>
      <c r="E816" s="606"/>
      <c r="F816" s="606"/>
      <c r="G816" s="606"/>
      <c r="H816" s="607"/>
      <c r="I816" s="606"/>
      <c r="J816" s="606"/>
      <c r="K816" s="606"/>
      <c r="L816" s="606"/>
      <c r="M816" s="606"/>
      <c r="N816" s="608"/>
      <c r="O816" s="608"/>
      <c r="P816" s="608"/>
      <c r="Q816" s="608"/>
    </row>
    <row r="817" spans="2:17" ht="27.75" customHeight="1" x14ac:dyDescent="0.25">
      <c r="B817" s="606"/>
      <c r="C817" s="606"/>
      <c r="D817" s="606"/>
      <c r="E817" s="606"/>
      <c r="F817" s="606"/>
      <c r="G817" s="606"/>
      <c r="H817" s="607"/>
      <c r="I817" s="606"/>
      <c r="J817" s="606"/>
      <c r="K817" s="606"/>
      <c r="L817" s="606"/>
      <c r="M817" s="606"/>
      <c r="N817" s="608"/>
      <c r="O817" s="608"/>
      <c r="P817" s="608"/>
      <c r="Q817" s="608"/>
    </row>
    <row r="818" spans="2:17" ht="27.75" customHeight="1" x14ac:dyDescent="0.25">
      <c r="B818" s="606"/>
      <c r="C818" s="606"/>
      <c r="D818" s="606"/>
      <c r="E818" s="606"/>
      <c r="F818" s="606"/>
      <c r="G818" s="606"/>
      <c r="H818" s="607"/>
      <c r="I818" s="606"/>
      <c r="J818" s="606"/>
      <c r="K818" s="606"/>
      <c r="L818" s="606"/>
      <c r="M818" s="606"/>
      <c r="N818" s="608"/>
      <c r="O818" s="608"/>
      <c r="P818" s="608"/>
      <c r="Q818" s="608"/>
    </row>
    <row r="819" spans="2:17" ht="27.75" customHeight="1" x14ac:dyDescent="0.25">
      <c r="B819" s="606"/>
      <c r="C819" s="606"/>
      <c r="D819" s="606"/>
      <c r="E819" s="606"/>
      <c r="F819" s="606"/>
      <c r="G819" s="606"/>
      <c r="H819" s="607"/>
      <c r="I819" s="606"/>
      <c r="J819" s="606"/>
      <c r="K819" s="606"/>
      <c r="L819" s="606"/>
      <c r="M819" s="606"/>
      <c r="N819" s="608"/>
      <c r="O819" s="608"/>
      <c r="P819" s="608"/>
      <c r="Q819" s="608"/>
    </row>
    <row r="820" spans="2:17" ht="27.75" customHeight="1" x14ac:dyDescent="0.25">
      <c r="B820" s="606"/>
      <c r="C820" s="606"/>
      <c r="D820" s="606"/>
      <c r="E820" s="606"/>
      <c r="F820" s="606"/>
      <c r="G820" s="606"/>
      <c r="H820" s="607"/>
      <c r="I820" s="606"/>
      <c r="J820" s="606"/>
      <c r="K820" s="606"/>
      <c r="L820" s="606"/>
      <c r="M820" s="606"/>
      <c r="N820" s="608"/>
      <c r="O820" s="608"/>
      <c r="P820" s="608"/>
      <c r="Q820" s="608"/>
    </row>
    <row r="821" spans="2:17" ht="27.75" customHeight="1" x14ac:dyDescent="0.25">
      <c r="B821" s="606"/>
      <c r="C821" s="606"/>
      <c r="D821" s="606"/>
      <c r="E821" s="606"/>
      <c r="F821" s="606"/>
      <c r="G821" s="606"/>
      <c r="H821" s="607"/>
      <c r="I821" s="606"/>
      <c r="J821" s="606"/>
      <c r="K821" s="606"/>
      <c r="L821" s="606"/>
      <c r="M821" s="606"/>
      <c r="N821" s="608"/>
      <c r="O821" s="608"/>
      <c r="P821" s="608"/>
      <c r="Q821" s="608"/>
    </row>
    <row r="822" spans="2:17" ht="27.75" customHeight="1" x14ac:dyDescent="0.25">
      <c r="B822" s="606"/>
      <c r="C822" s="606"/>
      <c r="D822" s="606"/>
      <c r="E822" s="606"/>
      <c r="F822" s="606"/>
      <c r="G822" s="606"/>
      <c r="H822" s="607"/>
      <c r="I822" s="606"/>
      <c r="J822" s="606"/>
      <c r="K822" s="606"/>
      <c r="L822" s="606"/>
      <c r="M822" s="606"/>
      <c r="N822" s="608"/>
      <c r="O822" s="608"/>
      <c r="P822" s="608"/>
      <c r="Q822" s="608"/>
    </row>
    <row r="823" spans="2:17" ht="27.75" customHeight="1" x14ac:dyDescent="0.25">
      <c r="B823" s="606"/>
      <c r="C823" s="606"/>
      <c r="D823" s="606"/>
      <c r="E823" s="606"/>
      <c r="F823" s="606"/>
      <c r="G823" s="606"/>
      <c r="H823" s="607"/>
      <c r="I823" s="606"/>
      <c r="J823" s="606"/>
      <c r="K823" s="606"/>
      <c r="L823" s="606"/>
      <c r="M823" s="606"/>
      <c r="N823" s="608"/>
      <c r="O823" s="608"/>
      <c r="P823" s="608"/>
      <c r="Q823" s="608"/>
    </row>
    <row r="824" spans="2:17" ht="27.75" customHeight="1" x14ac:dyDescent="0.25">
      <c r="B824" s="606"/>
      <c r="C824" s="606"/>
      <c r="D824" s="606"/>
      <c r="E824" s="606"/>
      <c r="F824" s="606"/>
      <c r="G824" s="606"/>
      <c r="H824" s="607"/>
      <c r="I824" s="606"/>
      <c r="J824" s="606"/>
      <c r="K824" s="606"/>
      <c r="L824" s="606"/>
      <c r="M824" s="606"/>
      <c r="N824" s="608"/>
      <c r="O824" s="608"/>
      <c r="P824" s="608"/>
      <c r="Q824" s="608"/>
    </row>
    <row r="825" spans="2:17" ht="27.75" customHeight="1" x14ac:dyDescent="0.25">
      <c r="B825" s="606"/>
      <c r="C825" s="606"/>
      <c r="D825" s="606"/>
      <c r="E825" s="606"/>
      <c r="F825" s="606"/>
      <c r="G825" s="606"/>
      <c r="H825" s="607"/>
      <c r="I825" s="606"/>
      <c r="J825" s="606"/>
      <c r="K825" s="606"/>
      <c r="L825" s="606"/>
      <c r="M825" s="606"/>
      <c r="N825" s="608"/>
      <c r="O825" s="608"/>
      <c r="P825" s="608"/>
      <c r="Q825" s="608"/>
    </row>
    <row r="826" spans="2:17" ht="27.75" customHeight="1" x14ac:dyDescent="0.25">
      <c r="B826" s="606"/>
      <c r="C826" s="606"/>
      <c r="D826" s="606"/>
      <c r="E826" s="606"/>
      <c r="F826" s="606"/>
      <c r="G826" s="606"/>
      <c r="H826" s="607"/>
      <c r="I826" s="606"/>
      <c r="J826" s="606"/>
      <c r="K826" s="606"/>
      <c r="L826" s="606"/>
      <c r="M826" s="606"/>
      <c r="N826" s="608"/>
      <c r="O826" s="608"/>
      <c r="P826" s="608"/>
      <c r="Q826" s="608"/>
    </row>
    <row r="827" spans="2:17" ht="27.75" customHeight="1" x14ac:dyDescent="0.25">
      <c r="B827" s="606"/>
      <c r="C827" s="606"/>
      <c r="D827" s="606"/>
      <c r="E827" s="606"/>
      <c r="F827" s="606"/>
      <c r="G827" s="606"/>
      <c r="H827" s="607"/>
      <c r="I827" s="606"/>
      <c r="J827" s="606"/>
      <c r="K827" s="606"/>
      <c r="L827" s="606"/>
      <c r="M827" s="606"/>
      <c r="N827" s="608"/>
      <c r="O827" s="608"/>
      <c r="P827" s="608"/>
      <c r="Q827" s="608"/>
    </row>
    <row r="828" spans="2:17" ht="27.75" customHeight="1" x14ac:dyDescent="0.25">
      <c r="B828" s="606"/>
      <c r="C828" s="606"/>
      <c r="D828" s="606"/>
      <c r="E828" s="606"/>
      <c r="F828" s="606"/>
      <c r="G828" s="606"/>
      <c r="H828" s="607"/>
      <c r="I828" s="606"/>
      <c r="J828" s="606"/>
      <c r="K828" s="606"/>
      <c r="L828" s="606"/>
      <c r="M828" s="606"/>
      <c r="N828" s="608"/>
      <c r="O828" s="608"/>
      <c r="P828" s="608"/>
      <c r="Q828" s="608"/>
    </row>
    <row r="829" spans="2:17" ht="27.75" customHeight="1" x14ac:dyDescent="0.25">
      <c r="B829" s="606"/>
      <c r="C829" s="606"/>
      <c r="D829" s="606"/>
      <c r="E829" s="606"/>
      <c r="F829" s="606"/>
      <c r="G829" s="606"/>
      <c r="H829" s="607"/>
      <c r="I829" s="606"/>
      <c r="J829" s="606"/>
      <c r="K829" s="606"/>
      <c r="L829" s="606"/>
      <c r="M829" s="606"/>
      <c r="N829" s="608"/>
      <c r="O829" s="608"/>
      <c r="P829" s="608"/>
      <c r="Q829" s="608"/>
    </row>
    <row r="830" spans="2:17" ht="27.75" customHeight="1" x14ac:dyDescent="0.25">
      <c r="B830" s="606"/>
      <c r="C830" s="606"/>
      <c r="D830" s="606"/>
      <c r="E830" s="606"/>
      <c r="F830" s="606"/>
      <c r="G830" s="606"/>
      <c r="H830" s="607"/>
      <c r="I830" s="606"/>
      <c r="J830" s="606"/>
      <c r="K830" s="606"/>
      <c r="L830" s="606"/>
      <c r="M830" s="606"/>
      <c r="N830" s="608"/>
      <c r="O830" s="608"/>
      <c r="P830" s="608"/>
      <c r="Q830" s="608"/>
    </row>
    <row r="831" spans="2:17" ht="27.75" customHeight="1" x14ac:dyDescent="0.25">
      <c r="B831" s="606"/>
      <c r="C831" s="606"/>
      <c r="D831" s="606"/>
      <c r="E831" s="606"/>
      <c r="F831" s="606"/>
      <c r="G831" s="606"/>
      <c r="H831" s="607"/>
      <c r="I831" s="606"/>
      <c r="J831" s="606"/>
      <c r="K831" s="606"/>
      <c r="L831" s="606"/>
      <c r="M831" s="606"/>
      <c r="N831" s="608"/>
      <c r="O831" s="608"/>
      <c r="P831" s="608"/>
      <c r="Q831" s="608"/>
    </row>
    <row r="832" spans="2:17" ht="27.75" customHeight="1" x14ac:dyDescent="0.25">
      <c r="B832" s="606"/>
      <c r="C832" s="606"/>
      <c r="D832" s="606"/>
      <c r="E832" s="606"/>
      <c r="F832" s="606"/>
      <c r="G832" s="606"/>
      <c r="H832" s="607"/>
      <c r="I832" s="606"/>
      <c r="J832" s="606"/>
      <c r="K832" s="606"/>
      <c r="L832" s="606"/>
      <c r="M832" s="606"/>
      <c r="N832" s="608"/>
      <c r="O832" s="608"/>
      <c r="P832" s="608"/>
      <c r="Q832" s="608"/>
    </row>
    <row r="833" spans="2:17" ht="27.75" customHeight="1" x14ac:dyDescent="0.25">
      <c r="B833" s="606"/>
      <c r="C833" s="606"/>
      <c r="D833" s="606"/>
      <c r="E833" s="606"/>
      <c r="F833" s="606"/>
      <c r="G833" s="606"/>
      <c r="H833" s="607"/>
      <c r="I833" s="606"/>
      <c r="J833" s="606"/>
      <c r="K833" s="606"/>
      <c r="L833" s="606"/>
      <c r="M833" s="606"/>
      <c r="N833" s="608"/>
      <c r="O833" s="608"/>
      <c r="P833" s="608"/>
      <c r="Q833" s="608"/>
    </row>
    <row r="834" spans="2:17" ht="27.75" customHeight="1" x14ac:dyDescent="0.25">
      <c r="B834" s="606"/>
      <c r="C834" s="606"/>
      <c r="D834" s="606"/>
      <c r="E834" s="606"/>
      <c r="F834" s="606"/>
      <c r="G834" s="606"/>
      <c r="H834" s="607"/>
      <c r="I834" s="606"/>
      <c r="J834" s="606"/>
      <c r="K834" s="606"/>
      <c r="L834" s="606"/>
      <c r="M834" s="606"/>
      <c r="N834" s="608"/>
      <c r="O834" s="608"/>
      <c r="P834" s="608"/>
      <c r="Q834" s="608"/>
    </row>
    <row r="835" spans="2:17" ht="27.75" customHeight="1" x14ac:dyDescent="0.25">
      <c r="B835" s="606"/>
      <c r="C835" s="606"/>
      <c r="D835" s="606"/>
      <c r="E835" s="606"/>
      <c r="F835" s="606"/>
      <c r="G835" s="606"/>
      <c r="H835" s="607"/>
      <c r="I835" s="606"/>
      <c r="J835" s="606"/>
      <c r="K835" s="606"/>
      <c r="L835" s="606"/>
      <c r="M835" s="606"/>
      <c r="N835" s="608"/>
      <c r="O835" s="608"/>
      <c r="P835" s="608"/>
      <c r="Q835" s="608"/>
    </row>
    <row r="836" spans="2:17" ht="27.75" customHeight="1" x14ac:dyDescent="0.25">
      <c r="B836" s="606"/>
      <c r="C836" s="606"/>
      <c r="D836" s="606"/>
      <c r="E836" s="606"/>
      <c r="F836" s="606"/>
      <c r="G836" s="606"/>
      <c r="H836" s="607"/>
      <c r="I836" s="606"/>
      <c r="J836" s="606"/>
      <c r="K836" s="606"/>
      <c r="L836" s="606"/>
      <c r="M836" s="606"/>
      <c r="N836" s="608"/>
      <c r="O836" s="608"/>
      <c r="P836" s="608"/>
      <c r="Q836" s="608"/>
    </row>
    <row r="837" spans="2:17" ht="27.75" customHeight="1" x14ac:dyDescent="0.25">
      <c r="B837" s="606"/>
      <c r="C837" s="606"/>
      <c r="D837" s="606"/>
      <c r="E837" s="606"/>
      <c r="F837" s="606"/>
      <c r="G837" s="606"/>
      <c r="H837" s="607"/>
      <c r="I837" s="606"/>
      <c r="J837" s="606"/>
      <c r="K837" s="606"/>
      <c r="L837" s="606"/>
      <c r="M837" s="606"/>
      <c r="N837" s="608"/>
      <c r="O837" s="608"/>
      <c r="P837" s="608"/>
      <c r="Q837" s="608"/>
    </row>
    <row r="838" spans="2:17" ht="27.75" customHeight="1" x14ac:dyDescent="0.25">
      <c r="B838" s="606"/>
      <c r="C838" s="606"/>
      <c r="D838" s="606"/>
      <c r="E838" s="606"/>
      <c r="F838" s="606"/>
      <c r="G838" s="606"/>
      <c r="H838" s="607"/>
      <c r="I838" s="606"/>
      <c r="J838" s="606"/>
      <c r="K838" s="606"/>
      <c r="L838" s="606"/>
      <c r="M838" s="606"/>
      <c r="N838" s="608"/>
      <c r="O838" s="608"/>
      <c r="P838" s="608"/>
      <c r="Q838" s="608"/>
    </row>
    <row r="839" spans="2:17" ht="27.75" customHeight="1" x14ac:dyDescent="0.25">
      <c r="B839" s="606"/>
      <c r="C839" s="606"/>
      <c r="D839" s="606"/>
      <c r="E839" s="606"/>
      <c r="F839" s="606"/>
      <c r="G839" s="606"/>
      <c r="H839" s="607"/>
      <c r="I839" s="606"/>
      <c r="J839" s="606"/>
      <c r="K839" s="606"/>
      <c r="L839" s="606"/>
      <c r="M839" s="606"/>
      <c r="N839" s="608"/>
      <c r="O839" s="608"/>
      <c r="P839" s="608"/>
      <c r="Q839" s="608"/>
    </row>
    <row r="840" spans="2:17" ht="27.75" customHeight="1" x14ac:dyDescent="0.25">
      <c r="B840" s="606"/>
      <c r="C840" s="606"/>
      <c r="D840" s="606"/>
      <c r="E840" s="606"/>
      <c r="F840" s="606"/>
      <c r="G840" s="606"/>
      <c r="H840" s="607"/>
      <c r="I840" s="606"/>
      <c r="J840" s="606"/>
      <c r="K840" s="606"/>
      <c r="L840" s="606"/>
      <c r="M840" s="606"/>
      <c r="N840" s="608"/>
      <c r="O840" s="608"/>
      <c r="P840" s="608"/>
      <c r="Q840" s="608"/>
    </row>
    <row r="841" spans="2:17" ht="27.75" customHeight="1" x14ac:dyDescent="0.25">
      <c r="B841" s="606"/>
      <c r="C841" s="606"/>
      <c r="D841" s="606"/>
      <c r="E841" s="606"/>
      <c r="F841" s="606"/>
      <c r="G841" s="606"/>
      <c r="H841" s="607"/>
      <c r="I841" s="606"/>
      <c r="J841" s="606"/>
      <c r="K841" s="606"/>
      <c r="L841" s="606"/>
      <c r="M841" s="606"/>
      <c r="N841" s="608"/>
      <c r="O841" s="608"/>
      <c r="P841" s="608"/>
      <c r="Q841" s="608"/>
    </row>
    <row r="842" spans="2:17" ht="27.75" customHeight="1" x14ac:dyDescent="0.25">
      <c r="B842" s="606"/>
      <c r="C842" s="606"/>
      <c r="D842" s="606"/>
      <c r="E842" s="606"/>
      <c r="F842" s="606"/>
      <c r="G842" s="606"/>
      <c r="H842" s="607"/>
      <c r="I842" s="606"/>
      <c r="J842" s="606"/>
      <c r="K842" s="606"/>
      <c r="L842" s="606"/>
      <c r="M842" s="606"/>
      <c r="N842" s="608"/>
      <c r="O842" s="608"/>
      <c r="P842" s="608"/>
      <c r="Q842" s="608"/>
    </row>
    <row r="843" spans="2:17" ht="27.75" customHeight="1" x14ac:dyDescent="0.25">
      <c r="B843" s="606"/>
      <c r="C843" s="606"/>
      <c r="D843" s="606"/>
      <c r="E843" s="606"/>
      <c r="F843" s="606"/>
      <c r="G843" s="606"/>
      <c r="H843" s="607"/>
      <c r="I843" s="606"/>
      <c r="J843" s="606"/>
      <c r="K843" s="606"/>
      <c r="L843" s="606"/>
      <c r="M843" s="606"/>
      <c r="N843" s="608"/>
      <c r="O843" s="608"/>
      <c r="P843" s="608"/>
      <c r="Q843" s="608"/>
    </row>
    <row r="844" spans="2:17" ht="27.75" customHeight="1" x14ac:dyDescent="0.25">
      <c r="B844" s="606"/>
      <c r="C844" s="606"/>
      <c r="D844" s="606"/>
      <c r="E844" s="606"/>
      <c r="F844" s="606"/>
      <c r="G844" s="606"/>
      <c r="H844" s="607"/>
      <c r="I844" s="606"/>
      <c r="J844" s="606"/>
      <c r="K844" s="606"/>
      <c r="L844" s="606"/>
      <c r="M844" s="606"/>
      <c r="N844" s="608"/>
      <c r="O844" s="608"/>
      <c r="P844" s="608"/>
      <c r="Q844" s="608"/>
    </row>
    <row r="845" spans="2:17" ht="27.75" customHeight="1" x14ac:dyDescent="0.25">
      <c r="B845" s="606"/>
      <c r="C845" s="606"/>
      <c r="D845" s="606"/>
      <c r="E845" s="606"/>
      <c r="F845" s="606"/>
      <c r="G845" s="606"/>
      <c r="H845" s="607"/>
      <c r="I845" s="606"/>
      <c r="J845" s="606"/>
      <c r="K845" s="606"/>
      <c r="L845" s="606"/>
      <c r="M845" s="606"/>
      <c r="N845" s="608"/>
      <c r="O845" s="608"/>
      <c r="P845" s="608"/>
      <c r="Q845" s="608"/>
    </row>
    <row r="846" spans="2:17" ht="27.75" customHeight="1" x14ac:dyDescent="0.25">
      <c r="B846" s="606"/>
      <c r="C846" s="606"/>
      <c r="D846" s="606"/>
      <c r="E846" s="606"/>
      <c r="F846" s="606"/>
      <c r="G846" s="606"/>
      <c r="H846" s="607"/>
      <c r="I846" s="606"/>
      <c r="J846" s="606"/>
      <c r="K846" s="606"/>
      <c r="L846" s="606"/>
      <c r="M846" s="606"/>
      <c r="N846" s="608"/>
      <c r="O846" s="608"/>
      <c r="P846" s="608"/>
      <c r="Q846" s="608"/>
    </row>
    <row r="847" spans="2:17" ht="27.75" customHeight="1" x14ac:dyDescent="0.25">
      <c r="B847" s="606"/>
      <c r="C847" s="606"/>
      <c r="D847" s="606"/>
      <c r="E847" s="606"/>
      <c r="F847" s="606"/>
      <c r="G847" s="606"/>
      <c r="H847" s="607"/>
      <c r="I847" s="606"/>
      <c r="J847" s="606"/>
      <c r="K847" s="606"/>
      <c r="L847" s="606"/>
      <c r="M847" s="606"/>
      <c r="N847" s="608"/>
      <c r="O847" s="608"/>
      <c r="P847" s="608"/>
      <c r="Q847" s="608"/>
    </row>
    <row r="848" spans="2:17" ht="27.75" customHeight="1" x14ac:dyDescent="0.25">
      <c r="B848" s="606"/>
      <c r="C848" s="606"/>
      <c r="D848" s="606"/>
      <c r="E848" s="606"/>
      <c r="F848" s="606"/>
      <c r="G848" s="606"/>
      <c r="H848" s="607"/>
      <c r="I848" s="606"/>
      <c r="J848" s="606"/>
      <c r="K848" s="606"/>
      <c r="L848" s="606"/>
      <c r="M848" s="606"/>
      <c r="N848" s="608"/>
      <c r="O848" s="608"/>
      <c r="P848" s="608"/>
      <c r="Q848" s="608"/>
    </row>
    <row r="849" spans="2:17" ht="27.75" customHeight="1" x14ac:dyDescent="0.25">
      <c r="B849" s="606"/>
      <c r="C849" s="606"/>
      <c r="D849" s="606"/>
      <c r="E849" s="606"/>
      <c r="F849" s="606"/>
      <c r="G849" s="606"/>
      <c r="H849" s="607"/>
      <c r="I849" s="606"/>
      <c r="J849" s="606"/>
      <c r="K849" s="606"/>
      <c r="L849" s="606"/>
      <c r="M849" s="606"/>
      <c r="N849" s="608"/>
      <c r="O849" s="608"/>
      <c r="P849" s="608"/>
      <c r="Q849" s="608"/>
    </row>
    <row r="850" spans="2:17" ht="27.75" customHeight="1" x14ac:dyDescent="0.25">
      <c r="B850" s="606"/>
      <c r="C850" s="606"/>
      <c r="D850" s="606"/>
      <c r="E850" s="606"/>
      <c r="F850" s="606"/>
      <c r="G850" s="606"/>
      <c r="H850" s="607"/>
      <c r="I850" s="606"/>
      <c r="J850" s="606"/>
      <c r="K850" s="606"/>
      <c r="L850" s="606"/>
      <c r="M850" s="606"/>
      <c r="N850" s="608"/>
      <c r="O850" s="608"/>
      <c r="P850" s="608"/>
      <c r="Q850" s="608"/>
    </row>
    <row r="851" spans="2:17" ht="27.75" customHeight="1" x14ac:dyDescent="0.25">
      <c r="B851" s="606"/>
      <c r="C851" s="606"/>
      <c r="D851" s="606"/>
      <c r="E851" s="606"/>
      <c r="F851" s="606"/>
      <c r="G851" s="606"/>
      <c r="H851" s="607"/>
      <c r="I851" s="606"/>
      <c r="J851" s="606"/>
      <c r="K851" s="606"/>
      <c r="L851" s="606"/>
      <c r="M851" s="606"/>
      <c r="N851" s="608"/>
      <c r="O851" s="608"/>
      <c r="P851" s="608"/>
      <c r="Q851" s="608"/>
    </row>
    <row r="852" spans="2:17" ht="27.75" customHeight="1" x14ac:dyDescent="0.25">
      <c r="B852" s="606"/>
      <c r="C852" s="606"/>
      <c r="D852" s="606"/>
      <c r="E852" s="606"/>
      <c r="F852" s="606"/>
      <c r="G852" s="606"/>
      <c r="H852" s="607"/>
      <c r="I852" s="606"/>
      <c r="J852" s="606"/>
      <c r="K852" s="606"/>
      <c r="L852" s="606"/>
      <c r="M852" s="606"/>
      <c r="N852" s="608"/>
      <c r="O852" s="608"/>
      <c r="P852" s="608"/>
      <c r="Q852" s="608"/>
    </row>
    <row r="853" spans="2:17" ht="27.75" customHeight="1" x14ac:dyDescent="0.25">
      <c r="B853" s="606"/>
      <c r="C853" s="606"/>
      <c r="D853" s="606"/>
      <c r="E853" s="606"/>
      <c r="F853" s="606"/>
      <c r="G853" s="606"/>
      <c r="H853" s="607"/>
      <c r="I853" s="606"/>
      <c r="J853" s="606"/>
      <c r="K853" s="606"/>
      <c r="L853" s="606"/>
      <c r="M853" s="606"/>
      <c r="N853" s="608"/>
      <c r="O853" s="608"/>
      <c r="P853" s="608"/>
      <c r="Q853" s="608"/>
    </row>
    <row r="854" spans="2:17" ht="27.75" customHeight="1" x14ac:dyDescent="0.25">
      <c r="B854" s="606"/>
      <c r="C854" s="606"/>
      <c r="D854" s="606"/>
      <c r="E854" s="606"/>
      <c r="F854" s="606"/>
      <c r="G854" s="606"/>
      <c r="H854" s="607"/>
      <c r="I854" s="606"/>
      <c r="J854" s="606"/>
      <c r="K854" s="606"/>
      <c r="L854" s="606"/>
      <c r="M854" s="606"/>
      <c r="N854" s="608"/>
      <c r="O854" s="608"/>
      <c r="P854" s="608"/>
      <c r="Q854" s="608"/>
    </row>
    <row r="855" spans="2:17" ht="27.75" customHeight="1" x14ac:dyDescent="0.25">
      <c r="B855" s="606"/>
      <c r="C855" s="606"/>
      <c r="D855" s="606"/>
      <c r="E855" s="606"/>
      <c r="F855" s="606"/>
      <c r="G855" s="606"/>
      <c r="H855" s="607"/>
      <c r="I855" s="606"/>
      <c r="J855" s="606"/>
      <c r="K855" s="606"/>
      <c r="L855" s="606"/>
      <c r="M855" s="606"/>
      <c r="N855" s="608"/>
      <c r="O855" s="608"/>
      <c r="P855" s="608"/>
      <c r="Q855" s="608"/>
    </row>
    <row r="856" spans="2:17" ht="27.75" customHeight="1" x14ac:dyDescent="0.25">
      <c r="B856" s="606"/>
      <c r="C856" s="606"/>
      <c r="D856" s="606"/>
      <c r="E856" s="606"/>
      <c r="F856" s="606"/>
      <c r="G856" s="606"/>
      <c r="H856" s="607"/>
      <c r="I856" s="606"/>
      <c r="J856" s="606"/>
      <c r="K856" s="606"/>
      <c r="L856" s="606"/>
      <c r="M856" s="606"/>
      <c r="N856" s="608"/>
      <c r="O856" s="608"/>
      <c r="P856" s="608"/>
      <c r="Q856" s="608"/>
    </row>
    <row r="857" spans="2:17" ht="27.75" customHeight="1" x14ac:dyDescent="0.25">
      <c r="B857" s="606"/>
      <c r="C857" s="606"/>
      <c r="D857" s="606"/>
      <c r="E857" s="606"/>
      <c r="F857" s="606"/>
      <c r="G857" s="606"/>
      <c r="H857" s="607"/>
      <c r="I857" s="606"/>
      <c r="J857" s="606"/>
      <c r="K857" s="606"/>
      <c r="L857" s="606"/>
      <c r="M857" s="606"/>
      <c r="N857" s="608"/>
      <c r="O857" s="608"/>
      <c r="P857" s="608"/>
      <c r="Q857" s="608"/>
    </row>
    <row r="858" spans="2:17" ht="27.75" customHeight="1" x14ac:dyDescent="0.25">
      <c r="B858" s="606"/>
      <c r="C858" s="606"/>
      <c r="D858" s="606"/>
      <c r="E858" s="606"/>
      <c r="F858" s="606"/>
      <c r="G858" s="606"/>
      <c r="H858" s="607"/>
      <c r="I858" s="606"/>
      <c r="J858" s="606"/>
      <c r="K858" s="606"/>
      <c r="L858" s="606"/>
      <c r="M858" s="606"/>
      <c r="N858" s="608"/>
      <c r="O858" s="608"/>
      <c r="P858" s="608"/>
      <c r="Q858" s="608"/>
    </row>
    <row r="859" spans="2:17" ht="27.75" customHeight="1" x14ac:dyDescent="0.25">
      <c r="B859" s="606"/>
      <c r="C859" s="606"/>
      <c r="D859" s="606"/>
      <c r="E859" s="606"/>
      <c r="F859" s="606"/>
      <c r="G859" s="606"/>
      <c r="H859" s="607"/>
      <c r="I859" s="606"/>
      <c r="J859" s="606"/>
      <c r="K859" s="606"/>
      <c r="L859" s="606"/>
      <c r="M859" s="606"/>
      <c r="N859" s="608"/>
      <c r="O859" s="608"/>
      <c r="P859" s="608"/>
      <c r="Q859" s="608"/>
    </row>
    <row r="860" spans="2:17" ht="27.75" customHeight="1" x14ac:dyDescent="0.25">
      <c r="B860" s="606"/>
      <c r="C860" s="606"/>
      <c r="D860" s="606"/>
      <c r="E860" s="606"/>
      <c r="F860" s="606"/>
      <c r="G860" s="606"/>
      <c r="H860" s="607"/>
      <c r="I860" s="606"/>
      <c r="J860" s="606"/>
      <c r="K860" s="606"/>
      <c r="L860" s="606"/>
      <c r="M860" s="606"/>
      <c r="N860" s="608"/>
      <c r="O860" s="608"/>
      <c r="P860" s="608"/>
      <c r="Q860" s="608"/>
    </row>
    <row r="861" spans="2:17" ht="27.75" customHeight="1" x14ac:dyDescent="0.25">
      <c r="B861" s="606"/>
      <c r="C861" s="606"/>
      <c r="D861" s="606"/>
      <c r="E861" s="606"/>
      <c r="F861" s="606"/>
      <c r="G861" s="606"/>
      <c r="H861" s="607"/>
      <c r="I861" s="606"/>
      <c r="J861" s="606"/>
      <c r="K861" s="606"/>
      <c r="L861" s="606"/>
      <c r="M861" s="606"/>
      <c r="N861" s="608"/>
      <c r="O861" s="608"/>
      <c r="P861" s="608"/>
      <c r="Q861" s="608"/>
    </row>
    <row r="862" spans="2:17" ht="27.75" customHeight="1" x14ac:dyDescent="0.25">
      <c r="B862" s="606"/>
      <c r="C862" s="606"/>
      <c r="D862" s="606"/>
      <c r="E862" s="606"/>
      <c r="F862" s="606"/>
      <c r="G862" s="606"/>
      <c r="H862" s="607"/>
      <c r="I862" s="606"/>
      <c r="J862" s="606"/>
      <c r="K862" s="606"/>
      <c r="L862" s="606"/>
      <c r="M862" s="606"/>
      <c r="N862" s="608"/>
      <c r="O862" s="608"/>
      <c r="P862" s="608"/>
      <c r="Q862" s="608"/>
    </row>
    <row r="863" spans="2:17" ht="27.75" customHeight="1" x14ac:dyDescent="0.25">
      <c r="B863" s="606"/>
      <c r="C863" s="606"/>
      <c r="D863" s="606"/>
      <c r="E863" s="606"/>
      <c r="F863" s="606"/>
      <c r="G863" s="606"/>
      <c r="H863" s="607"/>
      <c r="I863" s="606"/>
      <c r="J863" s="606"/>
      <c r="K863" s="606"/>
      <c r="L863" s="606"/>
      <c r="M863" s="606"/>
      <c r="N863" s="608"/>
      <c r="O863" s="608"/>
      <c r="P863" s="608"/>
      <c r="Q863" s="608"/>
    </row>
    <row r="864" spans="2:17" ht="27.75" customHeight="1" x14ac:dyDescent="0.25">
      <c r="B864" s="606"/>
      <c r="C864" s="606"/>
      <c r="D864" s="606"/>
      <c r="E864" s="606"/>
      <c r="F864" s="606"/>
      <c r="G864" s="606"/>
      <c r="H864" s="607"/>
      <c r="I864" s="606"/>
      <c r="J864" s="606"/>
      <c r="K864" s="606"/>
      <c r="L864" s="606"/>
      <c r="M864" s="606"/>
      <c r="N864" s="608"/>
      <c r="O864" s="608"/>
      <c r="P864" s="608"/>
      <c r="Q864" s="608"/>
    </row>
    <row r="865" spans="2:17" ht="27.75" customHeight="1" x14ac:dyDescent="0.25">
      <c r="B865" s="606"/>
      <c r="C865" s="606"/>
      <c r="D865" s="606"/>
      <c r="E865" s="606"/>
      <c r="F865" s="606"/>
      <c r="G865" s="606"/>
      <c r="H865" s="607"/>
      <c r="I865" s="606"/>
      <c r="J865" s="606"/>
      <c r="K865" s="606"/>
      <c r="L865" s="606"/>
      <c r="M865" s="606"/>
      <c r="N865" s="608"/>
      <c r="O865" s="608"/>
      <c r="P865" s="608"/>
      <c r="Q865" s="608"/>
    </row>
    <row r="866" spans="2:17" ht="27.75" customHeight="1" x14ac:dyDescent="0.25">
      <c r="B866" s="606"/>
      <c r="C866" s="606"/>
      <c r="D866" s="606"/>
      <c r="E866" s="606"/>
      <c r="F866" s="606"/>
      <c r="G866" s="606"/>
      <c r="H866" s="607"/>
      <c r="I866" s="606"/>
      <c r="J866" s="606"/>
      <c r="K866" s="606"/>
      <c r="L866" s="606"/>
      <c r="M866" s="606"/>
      <c r="N866" s="608"/>
      <c r="O866" s="608"/>
      <c r="P866" s="608"/>
      <c r="Q866" s="608"/>
    </row>
    <row r="867" spans="2:17" ht="27.75" customHeight="1" x14ac:dyDescent="0.25">
      <c r="B867" s="606"/>
      <c r="C867" s="606"/>
      <c r="D867" s="606"/>
      <c r="E867" s="606"/>
      <c r="F867" s="606"/>
      <c r="G867" s="606"/>
      <c r="H867" s="607"/>
      <c r="I867" s="606"/>
      <c r="J867" s="606"/>
      <c r="K867" s="606"/>
      <c r="L867" s="606"/>
      <c r="M867" s="606"/>
      <c r="N867" s="608"/>
      <c r="O867" s="608"/>
      <c r="P867" s="608"/>
      <c r="Q867" s="608"/>
    </row>
    <row r="868" spans="2:17" ht="27.75" customHeight="1" x14ac:dyDescent="0.25">
      <c r="B868" s="606"/>
      <c r="C868" s="606"/>
      <c r="D868" s="606"/>
      <c r="E868" s="606"/>
      <c r="F868" s="606"/>
      <c r="G868" s="606"/>
      <c r="H868" s="607"/>
      <c r="I868" s="606"/>
      <c r="J868" s="606"/>
      <c r="K868" s="606"/>
      <c r="L868" s="606"/>
      <c r="M868" s="606"/>
      <c r="N868" s="608"/>
      <c r="O868" s="608"/>
      <c r="P868" s="608"/>
      <c r="Q868" s="608"/>
    </row>
    <row r="869" spans="2:17" ht="27.75" customHeight="1" x14ac:dyDescent="0.25">
      <c r="B869" s="606"/>
      <c r="C869" s="606"/>
      <c r="D869" s="606"/>
      <c r="E869" s="606"/>
      <c r="F869" s="606"/>
      <c r="G869" s="606"/>
      <c r="H869" s="607"/>
      <c r="I869" s="606"/>
      <c r="J869" s="606"/>
      <c r="K869" s="606"/>
      <c r="L869" s="606"/>
      <c r="M869" s="606"/>
      <c r="N869" s="608"/>
      <c r="O869" s="608"/>
      <c r="P869" s="608"/>
      <c r="Q869" s="608"/>
    </row>
    <row r="870" spans="2:17" ht="27.75" customHeight="1" x14ac:dyDescent="0.25">
      <c r="B870" s="606"/>
      <c r="C870" s="606"/>
      <c r="D870" s="606"/>
      <c r="E870" s="606"/>
      <c r="F870" s="606"/>
      <c r="G870" s="606"/>
      <c r="H870" s="607"/>
      <c r="I870" s="606"/>
      <c r="J870" s="606"/>
      <c r="K870" s="606"/>
      <c r="L870" s="606"/>
      <c r="M870" s="606"/>
      <c r="N870" s="608"/>
      <c r="O870" s="608"/>
      <c r="P870" s="608"/>
      <c r="Q870" s="608"/>
    </row>
    <row r="871" spans="2:17" ht="27.75" customHeight="1" x14ac:dyDescent="0.25">
      <c r="B871" s="606"/>
      <c r="C871" s="606"/>
      <c r="D871" s="606"/>
      <c r="E871" s="606"/>
      <c r="F871" s="606"/>
      <c r="G871" s="606"/>
      <c r="H871" s="607"/>
      <c r="I871" s="606"/>
      <c r="J871" s="606"/>
      <c r="K871" s="606"/>
      <c r="L871" s="606"/>
      <c r="M871" s="606"/>
      <c r="N871" s="608"/>
      <c r="O871" s="608"/>
      <c r="P871" s="608"/>
      <c r="Q871" s="608"/>
    </row>
    <row r="872" spans="2:17" ht="27.75" customHeight="1" x14ac:dyDescent="0.25">
      <c r="B872" s="606"/>
      <c r="C872" s="606"/>
      <c r="D872" s="606"/>
      <c r="E872" s="606"/>
      <c r="F872" s="606"/>
      <c r="G872" s="606"/>
      <c r="H872" s="607"/>
      <c r="I872" s="606"/>
      <c r="J872" s="606"/>
      <c r="K872" s="606"/>
      <c r="L872" s="606"/>
      <c r="M872" s="606"/>
      <c r="N872" s="608"/>
      <c r="O872" s="608"/>
      <c r="P872" s="608"/>
      <c r="Q872" s="608"/>
    </row>
    <row r="873" spans="2:17" ht="27.75" customHeight="1" x14ac:dyDescent="0.25">
      <c r="B873" s="606"/>
      <c r="C873" s="606"/>
      <c r="D873" s="606"/>
      <c r="E873" s="606"/>
      <c r="F873" s="606"/>
      <c r="G873" s="606"/>
      <c r="H873" s="607"/>
      <c r="I873" s="606"/>
      <c r="J873" s="606"/>
      <c r="K873" s="606"/>
      <c r="L873" s="606"/>
      <c r="M873" s="606"/>
      <c r="N873" s="608"/>
      <c r="O873" s="608"/>
      <c r="P873" s="608"/>
      <c r="Q873" s="608"/>
    </row>
    <row r="874" spans="2:17" ht="27.75" customHeight="1" x14ac:dyDescent="0.25">
      <c r="B874" s="606"/>
      <c r="C874" s="606"/>
      <c r="D874" s="606"/>
      <c r="E874" s="606"/>
      <c r="F874" s="606"/>
      <c r="G874" s="606"/>
      <c r="H874" s="607"/>
      <c r="I874" s="606"/>
      <c r="J874" s="606"/>
      <c r="K874" s="606"/>
      <c r="L874" s="606"/>
      <c r="M874" s="606"/>
      <c r="N874" s="608"/>
      <c r="O874" s="608"/>
      <c r="P874" s="608"/>
      <c r="Q874" s="608"/>
    </row>
    <row r="875" spans="2:17" ht="27.75" customHeight="1" x14ac:dyDescent="0.25">
      <c r="B875" s="606"/>
      <c r="C875" s="606"/>
      <c r="D875" s="606"/>
      <c r="E875" s="606"/>
      <c r="F875" s="606"/>
      <c r="G875" s="606"/>
      <c r="H875" s="607"/>
      <c r="I875" s="606"/>
      <c r="J875" s="606"/>
      <c r="K875" s="606"/>
      <c r="L875" s="606"/>
      <c r="M875" s="606"/>
      <c r="N875" s="608"/>
      <c r="O875" s="608"/>
      <c r="P875" s="608"/>
      <c r="Q875" s="608"/>
    </row>
    <row r="876" spans="2:17" ht="27.75" customHeight="1" x14ac:dyDescent="0.25">
      <c r="B876" s="606"/>
      <c r="C876" s="606"/>
      <c r="D876" s="606"/>
      <c r="E876" s="606"/>
      <c r="F876" s="606"/>
      <c r="G876" s="606"/>
      <c r="H876" s="607"/>
      <c r="I876" s="606"/>
      <c r="J876" s="606"/>
      <c r="K876" s="606"/>
      <c r="L876" s="606"/>
      <c r="M876" s="606"/>
      <c r="N876" s="608"/>
      <c r="O876" s="608"/>
      <c r="P876" s="608"/>
      <c r="Q876" s="608"/>
    </row>
    <row r="877" spans="2:17" ht="27.75" customHeight="1" x14ac:dyDescent="0.25">
      <c r="B877" s="606"/>
      <c r="C877" s="606"/>
      <c r="D877" s="606"/>
      <c r="E877" s="606"/>
      <c r="F877" s="606"/>
      <c r="G877" s="606"/>
      <c r="H877" s="607"/>
      <c r="I877" s="606"/>
      <c r="J877" s="606"/>
      <c r="K877" s="606"/>
      <c r="L877" s="606"/>
      <c r="M877" s="606"/>
      <c r="N877" s="608"/>
      <c r="O877" s="608"/>
      <c r="P877" s="608"/>
      <c r="Q877" s="608"/>
    </row>
    <row r="878" spans="2:17" ht="27.75" customHeight="1" x14ac:dyDescent="0.25">
      <c r="B878" s="606"/>
      <c r="C878" s="606"/>
      <c r="D878" s="606"/>
      <c r="E878" s="606"/>
      <c r="F878" s="606"/>
      <c r="G878" s="606"/>
      <c r="H878" s="607"/>
      <c r="I878" s="606"/>
      <c r="J878" s="606"/>
      <c r="K878" s="606"/>
      <c r="L878" s="606"/>
      <c r="M878" s="606"/>
      <c r="N878" s="608"/>
      <c r="O878" s="608"/>
      <c r="P878" s="608"/>
      <c r="Q878" s="608"/>
    </row>
    <row r="879" spans="2:17" ht="27.75" customHeight="1" x14ac:dyDescent="0.25">
      <c r="B879" s="606"/>
      <c r="C879" s="606"/>
      <c r="D879" s="606"/>
      <c r="E879" s="606"/>
      <c r="F879" s="606"/>
      <c r="G879" s="606"/>
      <c r="H879" s="607"/>
      <c r="I879" s="606"/>
      <c r="J879" s="606"/>
      <c r="K879" s="606"/>
      <c r="L879" s="606"/>
      <c r="M879" s="606"/>
      <c r="N879" s="608"/>
      <c r="O879" s="608"/>
      <c r="P879" s="608"/>
      <c r="Q879" s="608"/>
    </row>
    <row r="880" spans="2:17" ht="27.75" customHeight="1" x14ac:dyDescent="0.25">
      <c r="B880" s="606"/>
      <c r="C880" s="606"/>
      <c r="D880" s="606"/>
      <c r="E880" s="606"/>
      <c r="F880" s="606"/>
      <c r="G880" s="606"/>
      <c r="H880" s="607"/>
      <c r="I880" s="606"/>
      <c r="J880" s="606"/>
      <c r="K880" s="606"/>
      <c r="L880" s="606"/>
      <c r="M880" s="606"/>
      <c r="N880" s="608"/>
      <c r="O880" s="608"/>
      <c r="P880" s="608"/>
      <c r="Q880" s="608"/>
    </row>
    <row r="881" spans="2:17" ht="27.75" customHeight="1" x14ac:dyDescent="0.25">
      <c r="B881" s="606"/>
      <c r="C881" s="606"/>
      <c r="D881" s="606"/>
      <c r="E881" s="606"/>
      <c r="F881" s="606"/>
      <c r="G881" s="606"/>
      <c r="H881" s="607"/>
      <c r="I881" s="606"/>
      <c r="J881" s="606"/>
      <c r="K881" s="606"/>
      <c r="L881" s="606"/>
      <c r="M881" s="606"/>
      <c r="N881" s="608"/>
      <c r="O881" s="608"/>
      <c r="P881" s="608"/>
      <c r="Q881" s="608"/>
    </row>
    <row r="882" spans="2:17" ht="27.75" customHeight="1" x14ac:dyDescent="0.25">
      <c r="B882" s="606"/>
      <c r="C882" s="606"/>
      <c r="D882" s="606"/>
      <c r="E882" s="606"/>
      <c r="F882" s="606"/>
      <c r="G882" s="606"/>
      <c r="H882" s="607"/>
      <c r="I882" s="606"/>
      <c r="J882" s="606"/>
      <c r="K882" s="606"/>
      <c r="L882" s="606"/>
      <c r="M882" s="606"/>
      <c r="N882" s="608"/>
      <c r="O882" s="608"/>
      <c r="P882" s="608"/>
      <c r="Q882" s="608"/>
    </row>
    <row r="883" spans="2:17" ht="27.75" customHeight="1" x14ac:dyDescent="0.25">
      <c r="B883" s="606"/>
      <c r="C883" s="606"/>
      <c r="D883" s="606"/>
      <c r="E883" s="606"/>
      <c r="F883" s="606"/>
      <c r="G883" s="606"/>
      <c r="H883" s="607"/>
      <c r="I883" s="606"/>
      <c r="J883" s="606"/>
      <c r="K883" s="606"/>
      <c r="L883" s="606"/>
      <c r="M883" s="606"/>
      <c r="N883" s="608"/>
      <c r="O883" s="608"/>
      <c r="P883" s="608"/>
      <c r="Q883" s="608"/>
    </row>
    <row r="884" spans="2:17" ht="27.75" customHeight="1" x14ac:dyDescent="0.25">
      <c r="B884" s="606"/>
      <c r="C884" s="606"/>
      <c r="D884" s="606"/>
      <c r="E884" s="606"/>
      <c r="F884" s="606"/>
      <c r="G884" s="606"/>
      <c r="H884" s="607"/>
      <c r="I884" s="606"/>
      <c r="J884" s="606"/>
      <c r="K884" s="606"/>
      <c r="L884" s="606"/>
      <c r="M884" s="606"/>
      <c r="N884" s="608"/>
      <c r="O884" s="608"/>
      <c r="P884" s="608"/>
      <c r="Q884" s="608"/>
    </row>
    <row r="885" spans="2:17" ht="27.75" customHeight="1" x14ac:dyDescent="0.25">
      <c r="B885" s="606"/>
      <c r="C885" s="606"/>
      <c r="D885" s="606"/>
      <c r="E885" s="606"/>
      <c r="F885" s="606"/>
      <c r="G885" s="606"/>
      <c r="H885" s="607"/>
      <c r="I885" s="606"/>
      <c r="J885" s="606"/>
      <c r="K885" s="606"/>
      <c r="L885" s="606"/>
      <c r="M885" s="606"/>
      <c r="N885" s="608"/>
      <c r="O885" s="608"/>
      <c r="P885" s="608"/>
      <c r="Q885" s="608"/>
    </row>
    <row r="886" spans="2:17" ht="27.75" customHeight="1" x14ac:dyDescent="0.25">
      <c r="B886" s="606"/>
      <c r="C886" s="606"/>
      <c r="D886" s="606"/>
      <c r="E886" s="606"/>
      <c r="F886" s="606"/>
      <c r="G886" s="606"/>
      <c r="H886" s="607"/>
      <c r="I886" s="606"/>
      <c r="J886" s="606"/>
      <c r="K886" s="606"/>
      <c r="L886" s="606"/>
      <c r="M886" s="606"/>
      <c r="N886" s="608"/>
      <c r="O886" s="608"/>
      <c r="P886" s="608"/>
      <c r="Q886" s="608"/>
    </row>
    <row r="887" spans="2:17" ht="27.75" customHeight="1" x14ac:dyDescent="0.25">
      <c r="B887" s="606"/>
      <c r="C887" s="606"/>
      <c r="D887" s="606"/>
      <c r="E887" s="606"/>
      <c r="F887" s="606"/>
      <c r="G887" s="606"/>
      <c r="H887" s="607"/>
      <c r="I887" s="606"/>
      <c r="J887" s="606"/>
      <c r="K887" s="606"/>
      <c r="L887" s="606"/>
      <c r="M887" s="606"/>
      <c r="N887" s="608"/>
      <c r="O887" s="608"/>
      <c r="P887" s="608"/>
      <c r="Q887" s="608"/>
    </row>
    <row r="888" spans="2:17" ht="27.75" customHeight="1" x14ac:dyDescent="0.25">
      <c r="B888" s="606"/>
      <c r="C888" s="606"/>
      <c r="D888" s="606"/>
      <c r="E888" s="606"/>
      <c r="F888" s="606"/>
      <c r="G888" s="606"/>
      <c r="H888" s="607"/>
      <c r="I888" s="606"/>
      <c r="J888" s="606"/>
      <c r="K888" s="606"/>
      <c r="L888" s="606"/>
      <c r="M888" s="606"/>
      <c r="N888" s="608"/>
      <c r="O888" s="608"/>
      <c r="P888" s="608"/>
      <c r="Q888" s="608"/>
    </row>
    <row r="889" spans="2:17" ht="27.75" customHeight="1" x14ac:dyDescent="0.25">
      <c r="B889" s="606"/>
      <c r="C889" s="606"/>
      <c r="D889" s="606"/>
      <c r="E889" s="606"/>
      <c r="F889" s="606"/>
      <c r="G889" s="606"/>
      <c r="H889" s="607"/>
      <c r="I889" s="606"/>
      <c r="J889" s="606"/>
      <c r="K889" s="606"/>
      <c r="L889" s="606"/>
      <c r="M889" s="606"/>
      <c r="N889" s="608"/>
      <c r="O889" s="608"/>
      <c r="P889" s="608"/>
      <c r="Q889" s="608"/>
    </row>
    <row r="890" spans="2:17" ht="27.75" customHeight="1" x14ac:dyDescent="0.25">
      <c r="B890" s="606"/>
      <c r="C890" s="606"/>
      <c r="D890" s="606"/>
      <c r="E890" s="606"/>
      <c r="F890" s="606"/>
      <c r="G890" s="606"/>
      <c r="H890" s="607"/>
      <c r="I890" s="606"/>
      <c r="J890" s="606"/>
      <c r="K890" s="606"/>
      <c r="L890" s="606"/>
      <c r="M890" s="606"/>
      <c r="N890" s="608"/>
      <c r="O890" s="608"/>
      <c r="P890" s="608"/>
      <c r="Q890" s="608"/>
    </row>
    <row r="891" spans="2:17" ht="27.75" customHeight="1" x14ac:dyDescent="0.25">
      <c r="B891" s="606"/>
      <c r="C891" s="606"/>
      <c r="D891" s="606"/>
      <c r="E891" s="606"/>
      <c r="F891" s="606"/>
      <c r="G891" s="606"/>
      <c r="H891" s="607"/>
      <c r="I891" s="606"/>
      <c r="J891" s="606"/>
      <c r="K891" s="606"/>
      <c r="L891" s="606"/>
      <c r="M891" s="606"/>
      <c r="N891" s="608"/>
      <c r="O891" s="608"/>
      <c r="P891" s="608"/>
      <c r="Q891" s="608"/>
    </row>
    <row r="892" spans="2:17" ht="27.75" customHeight="1" x14ac:dyDescent="0.25">
      <c r="B892" s="606"/>
      <c r="C892" s="606"/>
      <c r="D892" s="606"/>
      <c r="E892" s="606"/>
      <c r="F892" s="606"/>
      <c r="G892" s="606"/>
      <c r="H892" s="607"/>
      <c r="I892" s="606"/>
      <c r="J892" s="606"/>
      <c r="K892" s="606"/>
      <c r="L892" s="606"/>
      <c r="M892" s="606"/>
      <c r="N892" s="608"/>
      <c r="O892" s="608"/>
      <c r="P892" s="608"/>
      <c r="Q892" s="608"/>
    </row>
    <row r="893" spans="2:17" ht="27.75" customHeight="1" x14ac:dyDescent="0.25">
      <c r="B893" s="606"/>
      <c r="C893" s="606"/>
      <c r="D893" s="606"/>
      <c r="E893" s="606"/>
      <c r="F893" s="606"/>
      <c r="G893" s="606"/>
      <c r="H893" s="607"/>
      <c r="I893" s="606"/>
      <c r="J893" s="606"/>
      <c r="K893" s="606"/>
      <c r="L893" s="606"/>
      <c r="M893" s="606"/>
      <c r="N893" s="608"/>
      <c r="O893" s="608"/>
      <c r="P893" s="608"/>
      <c r="Q893" s="608"/>
    </row>
    <row r="894" spans="2:17" ht="27.75" customHeight="1" x14ac:dyDescent="0.25">
      <c r="B894" s="606"/>
      <c r="C894" s="606"/>
      <c r="D894" s="606"/>
      <c r="E894" s="606"/>
      <c r="F894" s="606"/>
      <c r="G894" s="606"/>
      <c r="H894" s="607"/>
      <c r="I894" s="606"/>
      <c r="J894" s="606"/>
      <c r="K894" s="606"/>
      <c r="L894" s="606"/>
      <c r="M894" s="606"/>
      <c r="N894" s="608"/>
      <c r="O894" s="608"/>
      <c r="P894" s="608"/>
      <c r="Q894" s="608"/>
    </row>
    <row r="895" spans="2:17" ht="27.75" customHeight="1" x14ac:dyDescent="0.25">
      <c r="B895" s="606"/>
      <c r="C895" s="606"/>
      <c r="D895" s="606"/>
      <c r="E895" s="606"/>
      <c r="F895" s="606"/>
      <c r="G895" s="606"/>
      <c r="H895" s="607"/>
      <c r="I895" s="606"/>
      <c r="J895" s="606"/>
      <c r="K895" s="606"/>
      <c r="L895" s="606"/>
      <c r="M895" s="606"/>
      <c r="N895" s="608"/>
      <c r="O895" s="608"/>
      <c r="P895" s="608"/>
      <c r="Q895" s="608"/>
    </row>
    <row r="896" spans="2:17" ht="27.75" customHeight="1" x14ac:dyDescent="0.25">
      <c r="B896" s="606"/>
      <c r="C896" s="606"/>
      <c r="D896" s="606"/>
      <c r="E896" s="606"/>
      <c r="F896" s="606"/>
      <c r="G896" s="606"/>
      <c r="H896" s="607"/>
      <c r="I896" s="606"/>
      <c r="J896" s="606"/>
      <c r="K896" s="606"/>
      <c r="L896" s="606"/>
      <c r="M896" s="606"/>
      <c r="N896" s="608"/>
      <c r="O896" s="608"/>
      <c r="P896" s="608"/>
      <c r="Q896" s="608"/>
    </row>
    <row r="897" spans="2:17" ht="27.75" customHeight="1" x14ac:dyDescent="0.25">
      <c r="B897" s="606"/>
      <c r="C897" s="606"/>
      <c r="D897" s="606"/>
      <c r="E897" s="606"/>
      <c r="F897" s="606"/>
      <c r="G897" s="606"/>
      <c r="H897" s="607"/>
      <c r="I897" s="606"/>
      <c r="J897" s="606"/>
      <c r="K897" s="606"/>
      <c r="L897" s="606"/>
      <c r="M897" s="606"/>
      <c r="N897" s="608"/>
      <c r="O897" s="608"/>
      <c r="P897" s="608"/>
      <c r="Q897" s="608"/>
    </row>
    <row r="898" spans="2:17" ht="27.75" customHeight="1" x14ac:dyDescent="0.25">
      <c r="B898" s="606"/>
      <c r="C898" s="606"/>
      <c r="D898" s="606"/>
      <c r="E898" s="606"/>
      <c r="F898" s="606"/>
      <c r="G898" s="606"/>
      <c r="H898" s="607"/>
      <c r="I898" s="606"/>
      <c r="J898" s="606"/>
      <c r="K898" s="606"/>
      <c r="L898" s="606"/>
      <c r="M898" s="606"/>
      <c r="N898" s="608"/>
      <c r="O898" s="608"/>
      <c r="P898" s="608"/>
      <c r="Q898" s="608"/>
    </row>
    <row r="899" spans="2:17" ht="27.75" customHeight="1" x14ac:dyDescent="0.25">
      <c r="B899" s="606"/>
      <c r="C899" s="606"/>
      <c r="D899" s="606"/>
      <c r="E899" s="606"/>
      <c r="F899" s="606"/>
      <c r="G899" s="606"/>
      <c r="H899" s="607"/>
      <c r="I899" s="606"/>
      <c r="J899" s="606"/>
      <c r="K899" s="606"/>
      <c r="L899" s="606"/>
      <c r="M899" s="606"/>
      <c r="N899" s="608"/>
      <c r="O899" s="608"/>
      <c r="P899" s="608"/>
      <c r="Q899" s="608"/>
    </row>
    <row r="900" spans="2:17" ht="27.75" customHeight="1" x14ac:dyDescent="0.25">
      <c r="B900" s="606"/>
      <c r="C900" s="606"/>
      <c r="D900" s="606"/>
      <c r="E900" s="606"/>
      <c r="F900" s="606"/>
      <c r="G900" s="606"/>
      <c r="H900" s="607"/>
      <c r="I900" s="606"/>
      <c r="J900" s="606"/>
      <c r="K900" s="606"/>
      <c r="L900" s="606"/>
      <c r="M900" s="606"/>
      <c r="N900" s="608"/>
      <c r="O900" s="608"/>
      <c r="P900" s="608"/>
      <c r="Q900" s="608"/>
    </row>
    <row r="901" spans="2:17" ht="27.75" customHeight="1" x14ac:dyDescent="0.25">
      <c r="B901" s="606"/>
      <c r="C901" s="606"/>
      <c r="D901" s="606"/>
      <c r="E901" s="606"/>
      <c r="F901" s="606"/>
      <c r="G901" s="606"/>
      <c r="H901" s="607"/>
      <c r="I901" s="606"/>
      <c r="J901" s="606"/>
      <c r="K901" s="606"/>
      <c r="L901" s="606"/>
      <c r="M901" s="606"/>
      <c r="N901" s="608"/>
      <c r="O901" s="608"/>
      <c r="P901" s="608"/>
      <c r="Q901" s="608"/>
    </row>
    <row r="902" spans="2:17" ht="27.75" customHeight="1" x14ac:dyDescent="0.25">
      <c r="B902" s="606"/>
      <c r="C902" s="606"/>
      <c r="D902" s="606"/>
      <c r="E902" s="606"/>
      <c r="F902" s="606"/>
      <c r="G902" s="606"/>
      <c r="H902" s="607"/>
      <c r="I902" s="606"/>
      <c r="J902" s="606"/>
      <c r="K902" s="606"/>
      <c r="L902" s="606"/>
      <c r="M902" s="606"/>
      <c r="N902" s="608"/>
      <c r="O902" s="608"/>
      <c r="P902" s="608"/>
      <c r="Q902" s="608"/>
    </row>
    <row r="903" spans="2:17" ht="27.75" customHeight="1" x14ac:dyDescent="0.25">
      <c r="B903" s="606"/>
      <c r="C903" s="606"/>
      <c r="D903" s="606"/>
      <c r="E903" s="606"/>
      <c r="F903" s="606"/>
      <c r="G903" s="606"/>
      <c r="H903" s="607"/>
      <c r="I903" s="606"/>
      <c r="J903" s="606"/>
      <c r="K903" s="606"/>
      <c r="L903" s="606"/>
      <c r="M903" s="606"/>
      <c r="N903" s="608"/>
      <c r="O903" s="608"/>
      <c r="P903" s="608"/>
      <c r="Q903" s="608"/>
    </row>
    <row r="904" spans="2:17" ht="27.75" customHeight="1" x14ac:dyDescent="0.25">
      <c r="B904" s="606"/>
      <c r="C904" s="606"/>
      <c r="D904" s="606"/>
      <c r="E904" s="606"/>
      <c r="F904" s="606"/>
      <c r="G904" s="606"/>
      <c r="H904" s="607"/>
      <c r="I904" s="606"/>
      <c r="J904" s="606"/>
      <c r="K904" s="606"/>
      <c r="L904" s="606"/>
      <c r="M904" s="606"/>
      <c r="N904" s="608"/>
      <c r="O904" s="608"/>
      <c r="P904" s="608"/>
      <c r="Q904" s="608"/>
    </row>
    <row r="905" spans="2:17" ht="27.75" customHeight="1" x14ac:dyDescent="0.25">
      <c r="B905" s="606"/>
      <c r="C905" s="606"/>
      <c r="D905" s="606"/>
      <c r="E905" s="606"/>
      <c r="F905" s="606"/>
      <c r="G905" s="606"/>
      <c r="H905" s="607"/>
      <c r="I905" s="606"/>
      <c r="J905" s="606"/>
      <c r="K905" s="606"/>
      <c r="L905" s="606"/>
      <c r="M905" s="606"/>
      <c r="N905" s="608"/>
      <c r="O905" s="608"/>
      <c r="P905" s="608"/>
      <c r="Q905" s="608"/>
    </row>
    <row r="906" spans="2:17" ht="27.75" customHeight="1" x14ac:dyDescent="0.25">
      <c r="B906" s="606"/>
      <c r="C906" s="606"/>
      <c r="D906" s="606"/>
      <c r="E906" s="606"/>
      <c r="F906" s="606"/>
      <c r="G906" s="606"/>
      <c r="H906" s="607"/>
      <c r="I906" s="606"/>
      <c r="J906" s="606"/>
      <c r="K906" s="606"/>
      <c r="L906" s="606"/>
      <c r="M906" s="606"/>
      <c r="N906" s="608"/>
      <c r="O906" s="608"/>
      <c r="P906" s="608"/>
      <c r="Q906" s="608"/>
    </row>
    <row r="907" spans="2:17" ht="27.75" customHeight="1" x14ac:dyDescent="0.25">
      <c r="B907" s="606"/>
      <c r="C907" s="606"/>
      <c r="D907" s="606"/>
      <c r="E907" s="606"/>
      <c r="F907" s="606"/>
      <c r="G907" s="606"/>
      <c r="H907" s="607"/>
      <c r="I907" s="606"/>
      <c r="J907" s="606"/>
      <c r="K907" s="606"/>
      <c r="L907" s="606"/>
      <c r="M907" s="606"/>
      <c r="N907" s="608"/>
      <c r="O907" s="608"/>
      <c r="P907" s="608"/>
      <c r="Q907" s="608"/>
    </row>
    <row r="908" spans="2:17" ht="27.75" customHeight="1" x14ac:dyDescent="0.25">
      <c r="B908" s="606"/>
      <c r="C908" s="606"/>
      <c r="D908" s="606"/>
      <c r="E908" s="606"/>
      <c r="F908" s="606"/>
      <c r="G908" s="606"/>
      <c r="H908" s="607"/>
      <c r="I908" s="606"/>
      <c r="J908" s="606"/>
      <c r="K908" s="606"/>
      <c r="L908" s="606"/>
      <c r="M908" s="606"/>
      <c r="N908" s="608"/>
      <c r="O908" s="608"/>
      <c r="P908" s="608"/>
      <c r="Q908" s="608"/>
    </row>
    <row r="909" spans="2:17" ht="27.75" customHeight="1" x14ac:dyDescent="0.25">
      <c r="B909" s="606"/>
      <c r="C909" s="606"/>
      <c r="D909" s="606"/>
      <c r="E909" s="606"/>
      <c r="F909" s="606"/>
      <c r="G909" s="606"/>
      <c r="H909" s="607"/>
      <c r="I909" s="606"/>
      <c r="J909" s="606"/>
      <c r="K909" s="606"/>
      <c r="L909" s="606"/>
      <c r="M909" s="606"/>
      <c r="N909" s="608"/>
      <c r="O909" s="608"/>
      <c r="P909" s="608"/>
      <c r="Q909" s="608"/>
    </row>
    <row r="910" spans="2:17" ht="27.75" customHeight="1" x14ac:dyDescent="0.25">
      <c r="B910" s="606"/>
      <c r="C910" s="606"/>
      <c r="D910" s="606"/>
      <c r="E910" s="606"/>
      <c r="F910" s="606"/>
      <c r="G910" s="606"/>
      <c r="H910" s="607"/>
      <c r="I910" s="606"/>
      <c r="J910" s="606"/>
      <c r="K910" s="606"/>
      <c r="L910" s="606"/>
      <c r="M910" s="606"/>
      <c r="N910" s="608"/>
      <c r="O910" s="608"/>
      <c r="P910" s="608"/>
      <c r="Q910" s="608"/>
    </row>
    <row r="911" spans="2:17" ht="27.75" customHeight="1" x14ac:dyDescent="0.25">
      <c r="B911" s="606"/>
      <c r="C911" s="606"/>
      <c r="D911" s="606"/>
      <c r="E911" s="606"/>
      <c r="F911" s="606"/>
      <c r="G911" s="606"/>
      <c r="H911" s="607"/>
      <c r="I911" s="606"/>
      <c r="J911" s="606"/>
      <c r="K911" s="606"/>
      <c r="L911" s="606"/>
      <c r="M911" s="606"/>
      <c r="N911" s="608"/>
      <c r="O911" s="608"/>
      <c r="P911" s="608"/>
      <c r="Q911" s="608"/>
    </row>
    <row r="912" spans="2:17" ht="27.75" customHeight="1" x14ac:dyDescent="0.25">
      <c r="B912" s="606"/>
      <c r="C912" s="606"/>
      <c r="D912" s="606"/>
      <c r="E912" s="606"/>
      <c r="F912" s="606"/>
      <c r="G912" s="606"/>
      <c r="H912" s="607"/>
      <c r="I912" s="606"/>
      <c r="J912" s="606"/>
      <c r="K912" s="606"/>
      <c r="L912" s="606"/>
      <c r="M912" s="606"/>
      <c r="N912" s="608"/>
      <c r="O912" s="608"/>
      <c r="P912" s="608"/>
      <c r="Q912" s="608"/>
    </row>
    <row r="913" spans="2:17" ht="27.75" customHeight="1" x14ac:dyDescent="0.25">
      <c r="B913" s="606"/>
      <c r="C913" s="606"/>
      <c r="D913" s="606"/>
      <c r="E913" s="606"/>
      <c r="F913" s="606"/>
      <c r="G913" s="606"/>
      <c r="H913" s="607"/>
      <c r="I913" s="606"/>
      <c r="J913" s="606"/>
      <c r="K913" s="606"/>
      <c r="L913" s="606"/>
      <c r="M913" s="606"/>
      <c r="N913" s="608"/>
      <c r="O913" s="608"/>
      <c r="P913" s="608"/>
      <c r="Q913" s="608"/>
    </row>
    <row r="914" spans="2:17" ht="27.75" customHeight="1" x14ac:dyDescent="0.25">
      <c r="B914" s="606"/>
      <c r="C914" s="606"/>
      <c r="D914" s="606"/>
      <c r="E914" s="606"/>
      <c r="F914" s="606"/>
      <c r="G914" s="606"/>
      <c r="H914" s="607"/>
      <c r="I914" s="606"/>
      <c r="J914" s="606"/>
      <c r="K914" s="606"/>
      <c r="L914" s="606"/>
      <c r="M914" s="606"/>
      <c r="N914" s="608"/>
      <c r="O914" s="608"/>
      <c r="P914" s="608"/>
      <c r="Q914" s="608"/>
    </row>
    <row r="915" spans="2:17" ht="27.75" customHeight="1" x14ac:dyDescent="0.25">
      <c r="B915" s="606"/>
      <c r="C915" s="606"/>
      <c r="D915" s="606"/>
      <c r="E915" s="606"/>
      <c r="F915" s="606"/>
      <c r="G915" s="606"/>
      <c r="H915" s="607"/>
      <c r="I915" s="606"/>
      <c r="J915" s="606"/>
      <c r="K915" s="606"/>
      <c r="L915" s="606"/>
      <c r="M915" s="606"/>
      <c r="N915" s="608"/>
      <c r="O915" s="608"/>
      <c r="P915" s="608"/>
      <c r="Q915" s="608"/>
    </row>
    <row r="916" spans="2:17" ht="27.75" customHeight="1" x14ac:dyDescent="0.25">
      <c r="B916" s="606"/>
      <c r="C916" s="606"/>
      <c r="D916" s="606"/>
      <c r="E916" s="606"/>
      <c r="F916" s="606"/>
      <c r="G916" s="606"/>
      <c r="H916" s="607"/>
      <c r="I916" s="606"/>
      <c r="J916" s="606"/>
      <c r="K916" s="606"/>
      <c r="L916" s="606"/>
      <c r="M916" s="606"/>
      <c r="N916" s="608"/>
      <c r="O916" s="608"/>
      <c r="P916" s="608"/>
      <c r="Q916" s="608"/>
    </row>
    <row r="917" spans="2:17" ht="27.75" customHeight="1" x14ac:dyDescent="0.25">
      <c r="B917" s="606"/>
      <c r="C917" s="606"/>
      <c r="D917" s="606"/>
      <c r="E917" s="606"/>
      <c r="F917" s="606"/>
      <c r="G917" s="606"/>
      <c r="H917" s="607"/>
      <c r="I917" s="606"/>
      <c r="J917" s="606"/>
      <c r="K917" s="606"/>
      <c r="L917" s="606"/>
      <c r="M917" s="606"/>
      <c r="N917" s="608"/>
      <c r="O917" s="608"/>
      <c r="P917" s="608"/>
      <c r="Q917" s="608"/>
    </row>
    <row r="918" spans="2:17" ht="27.75" customHeight="1" x14ac:dyDescent="0.25">
      <c r="B918" s="606"/>
      <c r="C918" s="606"/>
      <c r="D918" s="606"/>
      <c r="E918" s="606"/>
      <c r="F918" s="606"/>
      <c r="G918" s="606"/>
      <c r="H918" s="607"/>
      <c r="I918" s="606"/>
      <c r="J918" s="606"/>
      <c r="K918" s="606"/>
      <c r="L918" s="606"/>
      <c r="M918" s="606"/>
      <c r="N918" s="608"/>
      <c r="O918" s="608"/>
      <c r="P918" s="608"/>
      <c r="Q918" s="608"/>
    </row>
    <row r="919" spans="2:17" ht="27.75" customHeight="1" x14ac:dyDescent="0.25">
      <c r="B919" s="606"/>
      <c r="C919" s="606"/>
      <c r="D919" s="606"/>
      <c r="E919" s="606"/>
      <c r="F919" s="606"/>
      <c r="G919" s="606"/>
      <c r="H919" s="607"/>
      <c r="I919" s="606"/>
      <c r="J919" s="606"/>
      <c r="K919" s="606"/>
      <c r="L919" s="606"/>
      <c r="M919" s="606"/>
      <c r="N919" s="608"/>
      <c r="O919" s="608"/>
      <c r="P919" s="608"/>
      <c r="Q919" s="608"/>
    </row>
    <row r="920" spans="2:17" ht="27.75" customHeight="1" x14ac:dyDescent="0.25">
      <c r="B920" s="606"/>
      <c r="C920" s="606"/>
      <c r="D920" s="606"/>
      <c r="E920" s="606"/>
      <c r="F920" s="606"/>
      <c r="G920" s="606"/>
      <c r="H920" s="607"/>
      <c r="I920" s="606"/>
      <c r="J920" s="606"/>
      <c r="K920" s="606"/>
      <c r="L920" s="606"/>
      <c r="M920" s="606"/>
      <c r="N920" s="608"/>
      <c r="O920" s="608"/>
      <c r="P920" s="608"/>
      <c r="Q920" s="608"/>
    </row>
    <row r="921" spans="2:17" ht="27.75" customHeight="1" x14ac:dyDescent="0.25">
      <c r="B921" s="606"/>
      <c r="C921" s="606"/>
      <c r="D921" s="606"/>
      <c r="E921" s="606"/>
      <c r="F921" s="606"/>
      <c r="G921" s="606"/>
      <c r="H921" s="607"/>
      <c r="I921" s="606"/>
      <c r="J921" s="606"/>
      <c r="K921" s="606"/>
      <c r="L921" s="606"/>
      <c r="M921" s="606"/>
      <c r="N921" s="608"/>
      <c r="O921" s="608"/>
      <c r="P921" s="608"/>
      <c r="Q921" s="608"/>
    </row>
    <row r="922" spans="2:17" ht="27.75" customHeight="1" x14ac:dyDescent="0.25">
      <c r="B922" s="606"/>
      <c r="C922" s="606"/>
      <c r="D922" s="606"/>
      <c r="E922" s="606"/>
      <c r="F922" s="606"/>
      <c r="G922" s="606"/>
      <c r="H922" s="607"/>
      <c r="I922" s="606"/>
      <c r="J922" s="606"/>
      <c r="K922" s="606"/>
      <c r="L922" s="606"/>
      <c r="M922" s="606"/>
      <c r="N922" s="608"/>
      <c r="O922" s="608"/>
      <c r="P922" s="608"/>
      <c r="Q922" s="608"/>
    </row>
    <row r="923" spans="2:17" ht="27.75" customHeight="1" x14ac:dyDescent="0.25">
      <c r="B923" s="606"/>
      <c r="C923" s="606"/>
      <c r="D923" s="606"/>
      <c r="E923" s="606"/>
      <c r="F923" s="606"/>
      <c r="G923" s="606"/>
      <c r="H923" s="607"/>
      <c r="I923" s="606"/>
      <c r="J923" s="606"/>
      <c r="K923" s="606"/>
      <c r="L923" s="606"/>
      <c r="M923" s="606"/>
      <c r="N923" s="608"/>
      <c r="O923" s="608"/>
      <c r="P923" s="608"/>
      <c r="Q923" s="608"/>
    </row>
    <row r="924" spans="2:17" ht="27.75" customHeight="1" x14ac:dyDescent="0.25">
      <c r="B924" s="606"/>
      <c r="C924" s="606"/>
      <c r="D924" s="606"/>
      <c r="E924" s="606"/>
      <c r="F924" s="606"/>
      <c r="G924" s="606"/>
      <c r="H924" s="607"/>
      <c r="I924" s="606"/>
      <c r="J924" s="606"/>
      <c r="K924" s="606"/>
      <c r="L924" s="606"/>
      <c r="M924" s="606"/>
      <c r="N924" s="608"/>
      <c r="O924" s="608"/>
      <c r="P924" s="608"/>
      <c r="Q924" s="608"/>
    </row>
    <row r="925" spans="2:17" ht="27.75" customHeight="1" x14ac:dyDescent="0.25">
      <c r="B925" s="606"/>
      <c r="C925" s="606"/>
      <c r="D925" s="606"/>
      <c r="E925" s="606"/>
      <c r="F925" s="606"/>
      <c r="G925" s="606"/>
      <c r="H925" s="607"/>
      <c r="I925" s="606"/>
      <c r="J925" s="606"/>
      <c r="K925" s="606"/>
      <c r="L925" s="606"/>
      <c r="M925" s="606"/>
      <c r="N925" s="608"/>
      <c r="O925" s="608"/>
      <c r="P925" s="608"/>
      <c r="Q925" s="608"/>
    </row>
    <row r="926" spans="2:17" ht="27.75" customHeight="1" x14ac:dyDescent="0.25">
      <c r="B926" s="606"/>
      <c r="C926" s="606"/>
      <c r="D926" s="606"/>
      <c r="E926" s="606"/>
      <c r="F926" s="606"/>
      <c r="G926" s="606"/>
      <c r="H926" s="607"/>
      <c r="I926" s="606"/>
      <c r="J926" s="606"/>
      <c r="K926" s="606"/>
      <c r="L926" s="606"/>
      <c r="M926" s="606"/>
      <c r="N926" s="608"/>
      <c r="O926" s="608"/>
      <c r="P926" s="608"/>
      <c r="Q926" s="608"/>
    </row>
    <row r="927" spans="2:17" ht="27.75" customHeight="1" x14ac:dyDescent="0.25">
      <c r="B927" s="606"/>
      <c r="C927" s="606"/>
      <c r="D927" s="606"/>
      <c r="E927" s="606"/>
      <c r="F927" s="606"/>
      <c r="G927" s="606"/>
      <c r="H927" s="607"/>
      <c r="I927" s="606"/>
      <c r="J927" s="606"/>
      <c r="K927" s="606"/>
      <c r="L927" s="606"/>
      <c r="M927" s="606"/>
      <c r="N927" s="608"/>
      <c r="O927" s="608"/>
      <c r="P927" s="608"/>
      <c r="Q927" s="608"/>
    </row>
    <row r="928" spans="2:17" ht="27.75" customHeight="1" x14ac:dyDescent="0.25">
      <c r="B928" s="606"/>
      <c r="C928" s="606"/>
      <c r="D928" s="606"/>
      <c r="E928" s="606"/>
      <c r="F928" s="606"/>
      <c r="G928" s="606"/>
      <c r="H928" s="607"/>
      <c r="I928" s="606"/>
      <c r="J928" s="606"/>
      <c r="K928" s="606"/>
      <c r="L928" s="606"/>
      <c r="M928" s="606"/>
      <c r="N928" s="608"/>
      <c r="O928" s="608"/>
      <c r="P928" s="608"/>
      <c r="Q928" s="608"/>
    </row>
    <row r="929" spans="2:17" ht="27.75" customHeight="1" x14ac:dyDescent="0.25">
      <c r="B929" s="606"/>
      <c r="C929" s="606"/>
      <c r="D929" s="606"/>
      <c r="E929" s="606"/>
      <c r="F929" s="606"/>
      <c r="G929" s="606"/>
      <c r="H929" s="607"/>
      <c r="I929" s="606"/>
      <c r="J929" s="606"/>
      <c r="K929" s="606"/>
      <c r="L929" s="606"/>
      <c r="M929" s="606"/>
      <c r="N929" s="608"/>
      <c r="O929" s="608"/>
      <c r="P929" s="608"/>
      <c r="Q929" s="608"/>
    </row>
    <row r="930" spans="2:17" ht="27.75" customHeight="1" x14ac:dyDescent="0.25">
      <c r="B930" s="606"/>
      <c r="C930" s="606"/>
      <c r="D930" s="606"/>
      <c r="E930" s="606"/>
      <c r="F930" s="606"/>
      <c r="G930" s="606"/>
      <c r="H930" s="607"/>
      <c r="I930" s="606"/>
      <c r="J930" s="606"/>
      <c r="K930" s="606"/>
      <c r="L930" s="606"/>
      <c r="M930" s="606"/>
      <c r="N930" s="608"/>
      <c r="O930" s="608"/>
      <c r="P930" s="608"/>
      <c r="Q930" s="608"/>
    </row>
    <row r="931" spans="2:17" ht="27.75" customHeight="1" x14ac:dyDescent="0.25">
      <c r="B931" s="606"/>
      <c r="C931" s="606"/>
      <c r="D931" s="606"/>
      <c r="E931" s="606"/>
      <c r="F931" s="606"/>
      <c r="G931" s="606"/>
      <c r="H931" s="607"/>
      <c r="I931" s="606"/>
      <c r="J931" s="606"/>
      <c r="K931" s="606"/>
      <c r="L931" s="606"/>
      <c r="M931" s="606"/>
      <c r="N931" s="608"/>
      <c r="O931" s="608"/>
      <c r="P931" s="608"/>
      <c r="Q931" s="608"/>
    </row>
    <row r="932" spans="2:17" ht="27.75" customHeight="1" x14ac:dyDescent="0.25">
      <c r="B932" s="606"/>
      <c r="C932" s="606"/>
      <c r="D932" s="606"/>
      <c r="E932" s="606"/>
      <c r="F932" s="606"/>
      <c r="G932" s="606"/>
      <c r="H932" s="607"/>
      <c r="I932" s="606"/>
      <c r="J932" s="606"/>
      <c r="K932" s="606"/>
      <c r="L932" s="606"/>
      <c r="M932" s="606"/>
      <c r="N932" s="608"/>
      <c r="O932" s="608"/>
      <c r="P932" s="608"/>
      <c r="Q932" s="608"/>
    </row>
    <row r="933" spans="2:17" ht="27.75" customHeight="1" x14ac:dyDescent="0.25">
      <c r="B933" s="606"/>
      <c r="C933" s="606"/>
      <c r="D933" s="606"/>
      <c r="E933" s="606"/>
      <c r="F933" s="606"/>
      <c r="G933" s="606"/>
      <c r="H933" s="607"/>
      <c r="I933" s="606"/>
      <c r="J933" s="606"/>
      <c r="K933" s="606"/>
      <c r="L933" s="606"/>
      <c r="M933" s="606"/>
      <c r="N933" s="608"/>
      <c r="O933" s="608"/>
      <c r="P933" s="608"/>
      <c r="Q933" s="608"/>
    </row>
    <row r="934" spans="2:17" ht="27.75" customHeight="1" x14ac:dyDescent="0.25">
      <c r="B934" s="606"/>
      <c r="C934" s="606"/>
      <c r="D934" s="606"/>
      <c r="E934" s="606"/>
      <c r="F934" s="606"/>
      <c r="G934" s="606"/>
      <c r="H934" s="607"/>
      <c r="I934" s="606"/>
      <c r="J934" s="606"/>
      <c r="K934" s="606"/>
      <c r="L934" s="606"/>
      <c r="M934" s="606"/>
      <c r="N934" s="608"/>
      <c r="O934" s="608"/>
      <c r="P934" s="608"/>
      <c r="Q934" s="608"/>
    </row>
    <row r="935" spans="2:17" ht="27.75" customHeight="1" x14ac:dyDescent="0.25">
      <c r="B935" s="606"/>
      <c r="C935" s="606"/>
      <c r="D935" s="606"/>
      <c r="E935" s="606"/>
      <c r="F935" s="606"/>
      <c r="G935" s="606"/>
      <c r="H935" s="607"/>
      <c r="I935" s="606"/>
      <c r="J935" s="606"/>
      <c r="K935" s="606"/>
      <c r="L935" s="606"/>
      <c r="M935" s="606"/>
      <c r="N935" s="608"/>
      <c r="O935" s="608"/>
      <c r="P935" s="608"/>
      <c r="Q935" s="608"/>
    </row>
    <row r="936" spans="2:17" ht="27.75" customHeight="1" x14ac:dyDescent="0.25">
      <c r="B936" s="606"/>
      <c r="C936" s="606"/>
      <c r="D936" s="606"/>
      <c r="E936" s="606"/>
      <c r="F936" s="606"/>
      <c r="G936" s="606"/>
      <c r="H936" s="607"/>
      <c r="I936" s="606"/>
      <c r="J936" s="606"/>
      <c r="K936" s="606"/>
      <c r="L936" s="606"/>
      <c r="M936" s="606"/>
      <c r="N936" s="608"/>
      <c r="O936" s="608"/>
      <c r="P936" s="608"/>
      <c r="Q936" s="608"/>
    </row>
    <row r="937" spans="2:17" ht="27.75" customHeight="1" x14ac:dyDescent="0.25">
      <c r="B937" s="606"/>
      <c r="C937" s="606"/>
      <c r="D937" s="606"/>
      <c r="E937" s="606"/>
      <c r="F937" s="606"/>
      <c r="G937" s="606"/>
      <c r="H937" s="607"/>
      <c r="I937" s="606"/>
      <c r="J937" s="606"/>
      <c r="K937" s="606"/>
      <c r="L937" s="606"/>
      <c r="M937" s="606"/>
      <c r="N937" s="608"/>
      <c r="O937" s="608"/>
      <c r="P937" s="608"/>
      <c r="Q937" s="608"/>
    </row>
    <row r="938" spans="2:17" ht="27.75" customHeight="1" x14ac:dyDescent="0.25">
      <c r="B938" s="606"/>
      <c r="C938" s="606"/>
      <c r="D938" s="606"/>
      <c r="E938" s="606"/>
      <c r="F938" s="606"/>
      <c r="G938" s="606"/>
      <c r="H938" s="607"/>
      <c r="I938" s="606"/>
      <c r="J938" s="606"/>
      <c r="K938" s="606"/>
      <c r="L938" s="606"/>
      <c r="M938" s="606"/>
      <c r="N938" s="608"/>
      <c r="O938" s="608"/>
      <c r="P938" s="608"/>
      <c r="Q938" s="608"/>
    </row>
    <row r="939" spans="2:17" ht="27.75" customHeight="1" x14ac:dyDescent="0.25">
      <c r="B939" s="606"/>
      <c r="C939" s="606"/>
      <c r="D939" s="606"/>
      <c r="E939" s="606"/>
      <c r="F939" s="606"/>
      <c r="G939" s="606"/>
      <c r="H939" s="607"/>
      <c r="I939" s="606"/>
      <c r="J939" s="606"/>
      <c r="K939" s="606"/>
      <c r="L939" s="606"/>
      <c r="M939" s="606"/>
      <c r="N939" s="608"/>
      <c r="O939" s="608"/>
      <c r="P939" s="608"/>
      <c r="Q939" s="608"/>
    </row>
    <row r="940" spans="2:17" ht="27.75" customHeight="1" x14ac:dyDescent="0.25">
      <c r="B940" s="606"/>
      <c r="C940" s="606"/>
      <c r="D940" s="606"/>
      <c r="E940" s="606"/>
      <c r="F940" s="606"/>
      <c r="G940" s="606"/>
      <c r="H940" s="607"/>
      <c r="I940" s="606"/>
      <c r="J940" s="606"/>
      <c r="K940" s="606"/>
      <c r="L940" s="606"/>
      <c r="M940" s="606"/>
      <c r="N940" s="608"/>
      <c r="O940" s="608"/>
      <c r="P940" s="608"/>
      <c r="Q940" s="608"/>
    </row>
    <row r="941" spans="2:17" ht="27.75" customHeight="1" x14ac:dyDescent="0.25">
      <c r="B941" s="606"/>
      <c r="C941" s="606"/>
      <c r="D941" s="606"/>
      <c r="E941" s="606"/>
      <c r="F941" s="606"/>
      <c r="G941" s="606"/>
      <c r="H941" s="607"/>
      <c r="I941" s="606"/>
      <c r="J941" s="606"/>
      <c r="K941" s="606"/>
      <c r="L941" s="606"/>
      <c r="M941" s="606"/>
      <c r="N941" s="608"/>
      <c r="O941" s="608"/>
      <c r="P941" s="608"/>
      <c r="Q941" s="608"/>
    </row>
    <row r="942" spans="2:17" ht="27.75" customHeight="1" x14ac:dyDescent="0.25">
      <c r="B942" s="606"/>
      <c r="C942" s="606"/>
      <c r="D942" s="606"/>
      <c r="E942" s="606"/>
      <c r="F942" s="606"/>
      <c r="G942" s="606"/>
      <c r="H942" s="607"/>
      <c r="I942" s="606"/>
      <c r="J942" s="606"/>
      <c r="K942" s="606"/>
      <c r="L942" s="606"/>
      <c r="M942" s="606"/>
      <c r="N942" s="608"/>
      <c r="O942" s="608"/>
      <c r="P942" s="608"/>
      <c r="Q942" s="608"/>
    </row>
    <row r="943" spans="2:17" ht="27.75" customHeight="1" x14ac:dyDescent="0.25">
      <c r="B943" s="606"/>
      <c r="C943" s="606"/>
      <c r="D943" s="606"/>
      <c r="E943" s="606"/>
      <c r="F943" s="606"/>
      <c r="G943" s="606"/>
      <c r="H943" s="607"/>
      <c r="I943" s="606"/>
      <c r="J943" s="606"/>
      <c r="K943" s="606"/>
      <c r="L943" s="606"/>
      <c r="M943" s="606"/>
      <c r="N943" s="608"/>
      <c r="O943" s="608"/>
      <c r="P943" s="608"/>
      <c r="Q943" s="608"/>
    </row>
    <row r="944" spans="2:17" ht="27.75" customHeight="1" x14ac:dyDescent="0.25">
      <c r="B944" s="606"/>
      <c r="C944" s="606"/>
      <c r="D944" s="606"/>
      <c r="E944" s="606"/>
      <c r="F944" s="606"/>
      <c r="G944" s="606"/>
      <c r="H944" s="607"/>
      <c r="I944" s="606"/>
      <c r="J944" s="606"/>
      <c r="K944" s="606"/>
      <c r="L944" s="606"/>
      <c r="M944" s="606"/>
      <c r="N944" s="608"/>
      <c r="O944" s="608"/>
      <c r="P944" s="608"/>
      <c r="Q944" s="608"/>
    </row>
    <row r="945" spans="2:17" ht="27.75" customHeight="1" x14ac:dyDescent="0.25">
      <c r="B945" s="606"/>
      <c r="C945" s="606"/>
      <c r="D945" s="606"/>
      <c r="E945" s="606"/>
      <c r="F945" s="606"/>
      <c r="G945" s="606"/>
      <c r="H945" s="607"/>
      <c r="I945" s="606"/>
      <c r="J945" s="606"/>
      <c r="K945" s="606"/>
      <c r="L945" s="606"/>
      <c r="M945" s="606"/>
      <c r="N945" s="608"/>
      <c r="O945" s="608"/>
      <c r="P945" s="608"/>
      <c r="Q945" s="608"/>
    </row>
    <row r="946" spans="2:17" ht="27.75" customHeight="1" x14ac:dyDescent="0.25">
      <c r="B946" s="606"/>
      <c r="C946" s="606"/>
      <c r="D946" s="606"/>
      <c r="E946" s="606"/>
      <c r="F946" s="606"/>
      <c r="G946" s="606"/>
      <c r="H946" s="607"/>
      <c r="I946" s="606"/>
      <c r="J946" s="606"/>
      <c r="K946" s="606"/>
      <c r="L946" s="606"/>
      <c r="M946" s="606"/>
      <c r="N946" s="608"/>
      <c r="O946" s="608"/>
      <c r="P946" s="608"/>
      <c r="Q946" s="608"/>
    </row>
    <row r="947" spans="2:17" ht="27.75" customHeight="1" x14ac:dyDescent="0.25">
      <c r="B947" s="606"/>
      <c r="C947" s="606"/>
      <c r="D947" s="606"/>
      <c r="E947" s="606"/>
      <c r="F947" s="606"/>
      <c r="G947" s="606"/>
      <c r="H947" s="607"/>
      <c r="I947" s="606"/>
      <c r="J947" s="606"/>
      <c r="K947" s="606"/>
      <c r="L947" s="606"/>
      <c r="M947" s="606"/>
      <c r="N947" s="608"/>
      <c r="O947" s="608"/>
      <c r="P947" s="608"/>
      <c r="Q947" s="608"/>
    </row>
    <row r="948" spans="2:17" ht="27.75" customHeight="1" x14ac:dyDescent="0.25">
      <c r="B948" s="606"/>
      <c r="C948" s="606"/>
      <c r="D948" s="606"/>
      <c r="E948" s="606"/>
      <c r="F948" s="606"/>
      <c r="G948" s="606"/>
      <c r="H948" s="607"/>
      <c r="I948" s="606"/>
      <c r="J948" s="606"/>
      <c r="K948" s="606"/>
      <c r="L948" s="606"/>
      <c r="M948" s="606"/>
      <c r="N948" s="608"/>
      <c r="O948" s="608"/>
      <c r="P948" s="608"/>
      <c r="Q948" s="608"/>
    </row>
    <row r="949" spans="2:17" ht="27.75" customHeight="1" x14ac:dyDescent="0.25">
      <c r="B949" s="606"/>
      <c r="C949" s="606"/>
      <c r="D949" s="606"/>
      <c r="E949" s="606"/>
      <c r="F949" s="606"/>
      <c r="G949" s="606"/>
      <c r="H949" s="607"/>
      <c r="I949" s="606"/>
      <c r="J949" s="606"/>
      <c r="K949" s="606"/>
      <c r="L949" s="606"/>
      <c r="M949" s="606"/>
      <c r="N949" s="608"/>
      <c r="O949" s="608"/>
      <c r="P949" s="608"/>
      <c r="Q949" s="608"/>
    </row>
    <row r="950" spans="2:17" ht="27.75" customHeight="1" x14ac:dyDescent="0.25">
      <c r="B950" s="606"/>
      <c r="C950" s="606"/>
      <c r="D950" s="606"/>
      <c r="E950" s="606"/>
      <c r="F950" s="606"/>
      <c r="G950" s="606"/>
      <c r="H950" s="607"/>
      <c r="I950" s="606"/>
      <c r="J950" s="606"/>
      <c r="K950" s="606"/>
      <c r="L950" s="606"/>
      <c r="M950" s="606"/>
      <c r="N950" s="608"/>
      <c r="O950" s="608"/>
      <c r="P950" s="608"/>
      <c r="Q950" s="608"/>
    </row>
    <row r="951" spans="2:17" ht="27.75" customHeight="1" x14ac:dyDescent="0.25">
      <c r="B951" s="606"/>
      <c r="C951" s="606"/>
      <c r="D951" s="606"/>
      <c r="E951" s="606"/>
      <c r="F951" s="606"/>
      <c r="G951" s="606"/>
      <c r="H951" s="607"/>
      <c r="I951" s="606"/>
      <c r="J951" s="606"/>
      <c r="K951" s="606"/>
      <c r="L951" s="606"/>
      <c r="M951" s="606"/>
      <c r="N951" s="608"/>
      <c r="O951" s="608"/>
      <c r="P951" s="608"/>
      <c r="Q951" s="608"/>
    </row>
    <row r="952" spans="2:17" ht="27.75" customHeight="1" x14ac:dyDescent="0.25">
      <c r="B952" s="606"/>
      <c r="C952" s="606"/>
      <c r="D952" s="606"/>
      <c r="E952" s="606"/>
      <c r="F952" s="606"/>
      <c r="G952" s="606"/>
      <c r="H952" s="607"/>
      <c r="I952" s="606"/>
      <c r="J952" s="606"/>
      <c r="K952" s="606"/>
      <c r="L952" s="606"/>
      <c r="M952" s="606"/>
      <c r="N952" s="608"/>
      <c r="O952" s="608"/>
      <c r="P952" s="608"/>
      <c r="Q952" s="608"/>
    </row>
    <row r="953" spans="2:17" ht="27.75" customHeight="1" x14ac:dyDescent="0.25">
      <c r="B953" s="606"/>
      <c r="C953" s="606"/>
      <c r="D953" s="606"/>
      <c r="E953" s="606"/>
      <c r="F953" s="606"/>
      <c r="G953" s="606"/>
      <c r="H953" s="607"/>
      <c r="I953" s="606"/>
      <c r="J953" s="606"/>
      <c r="K953" s="606"/>
      <c r="L953" s="606"/>
      <c r="M953" s="606"/>
      <c r="N953" s="608"/>
      <c r="O953" s="608"/>
      <c r="P953" s="608"/>
      <c r="Q953" s="608"/>
    </row>
    <row r="954" spans="2:17" ht="27.75" customHeight="1" x14ac:dyDescent="0.25">
      <c r="B954" s="606"/>
      <c r="C954" s="606"/>
      <c r="D954" s="606"/>
      <c r="E954" s="606"/>
      <c r="F954" s="606"/>
      <c r="G954" s="606"/>
      <c r="H954" s="607"/>
      <c r="I954" s="606"/>
      <c r="J954" s="606"/>
      <c r="K954" s="606"/>
      <c r="L954" s="606"/>
      <c r="M954" s="606"/>
      <c r="N954" s="608"/>
      <c r="O954" s="608"/>
      <c r="P954" s="608"/>
      <c r="Q954" s="608"/>
    </row>
    <row r="955" spans="2:17" ht="27.75" customHeight="1" x14ac:dyDescent="0.25">
      <c r="B955" s="606"/>
      <c r="C955" s="606"/>
      <c r="D955" s="606"/>
      <c r="E955" s="606"/>
      <c r="F955" s="606"/>
      <c r="G955" s="606"/>
      <c r="H955" s="607"/>
      <c r="I955" s="606"/>
      <c r="J955" s="606"/>
      <c r="K955" s="606"/>
      <c r="L955" s="606"/>
      <c r="M955" s="606"/>
      <c r="N955" s="608"/>
      <c r="O955" s="608"/>
      <c r="P955" s="608"/>
      <c r="Q955" s="608"/>
    </row>
    <row r="956" spans="2:17" ht="27.75" customHeight="1" x14ac:dyDescent="0.25">
      <c r="B956" s="606"/>
      <c r="C956" s="606"/>
      <c r="D956" s="606"/>
      <c r="E956" s="606"/>
      <c r="F956" s="606"/>
      <c r="G956" s="606"/>
      <c r="H956" s="607"/>
      <c r="I956" s="606"/>
      <c r="J956" s="606"/>
      <c r="K956" s="606"/>
      <c r="L956" s="606"/>
      <c r="M956" s="606"/>
      <c r="N956" s="608"/>
      <c r="O956" s="608"/>
      <c r="P956" s="608"/>
      <c r="Q956" s="608"/>
    </row>
    <row r="957" spans="2:17" ht="27.75" customHeight="1" x14ac:dyDescent="0.25">
      <c r="B957" s="606"/>
      <c r="C957" s="606"/>
      <c r="D957" s="606"/>
      <c r="E957" s="606"/>
      <c r="F957" s="606"/>
      <c r="G957" s="606"/>
      <c r="H957" s="607"/>
      <c r="I957" s="606"/>
      <c r="J957" s="606"/>
      <c r="K957" s="606"/>
      <c r="L957" s="606"/>
      <c r="M957" s="606"/>
      <c r="N957" s="608"/>
      <c r="O957" s="608"/>
      <c r="P957" s="608"/>
      <c r="Q957" s="608"/>
    </row>
    <row r="958" spans="2:17" ht="27.75" customHeight="1" x14ac:dyDescent="0.25">
      <c r="B958" s="606"/>
      <c r="C958" s="606"/>
      <c r="D958" s="606"/>
      <c r="E958" s="606"/>
      <c r="F958" s="606"/>
      <c r="G958" s="606"/>
      <c r="H958" s="607"/>
      <c r="I958" s="606"/>
      <c r="J958" s="606"/>
      <c r="K958" s="606"/>
      <c r="L958" s="606"/>
      <c r="M958" s="606"/>
      <c r="N958" s="608"/>
      <c r="O958" s="608"/>
      <c r="P958" s="608"/>
      <c r="Q958" s="608"/>
    </row>
    <row r="959" spans="2:17" ht="27.75" customHeight="1" x14ac:dyDescent="0.25">
      <c r="B959" s="606"/>
      <c r="C959" s="606"/>
      <c r="D959" s="606"/>
      <c r="E959" s="606"/>
      <c r="F959" s="606"/>
      <c r="G959" s="606"/>
      <c r="H959" s="607"/>
      <c r="I959" s="606"/>
      <c r="J959" s="606"/>
      <c r="K959" s="606"/>
      <c r="L959" s="606"/>
      <c r="M959" s="606"/>
      <c r="N959" s="608"/>
      <c r="O959" s="608"/>
      <c r="P959" s="608"/>
      <c r="Q959" s="608"/>
    </row>
    <row r="960" spans="2:17" ht="27.75" customHeight="1" x14ac:dyDescent="0.25">
      <c r="B960" s="606"/>
      <c r="C960" s="606"/>
      <c r="D960" s="606"/>
      <c r="E960" s="606"/>
      <c r="F960" s="606"/>
      <c r="G960" s="606"/>
      <c r="H960" s="607"/>
      <c r="I960" s="606"/>
      <c r="J960" s="606"/>
      <c r="K960" s="606"/>
      <c r="L960" s="606"/>
      <c r="M960" s="606"/>
      <c r="N960" s="608"/>
      <c r="O960" s="608"/>
      <c r="P960" s="608"/>
      <c r="Q960" s="608"/>
    </row>
    <row r="961" spans="2:17" ht="27.75" customHeight="1" x14ac:dyDescent="0.25">
      <c r="B961" s="606"/>
      <c r="C961" s="606"/>
      <c r="D961" s="606"/>
      <c r="E961" s="606"/>
      <c r="F961" s="606"/>
      <c r="G961" s="606"/>
      <c r="H961" s="607"/>
      <c r="I961" s="606"/>
      <c r="J961" s="606"/>
      <c r="K961" s="606"/>
      <c r="L961" s="606"/>
      <c r="M961" s="606"/>
      <c r="N961" s="608"/>
      <c r="O961" s="608"/>
      <c r="P961" s="608"/>
      <c r="Q961" s="608"/>
    </row>
    <row r="962" spans="2:17" ht="27.75" customHeight="1" x14ac:dyDescent="0.25">
      <c r="B962" s="606"/>
      <c r="C962" s="606"/>
      <c r="D962" s="606"/>
      <c r="E962" s="606"/>
      <c r="F962" s="606"/>
      <c r="G962" s="606"/>
      <c r="H962" s="607"/>
      <c r="I962" s="606"/>
      <c r="J962" s="606"/>
      <c r="K962" s="606"/>
      <c r="L962" s="606"/>
      <c r="M962" s="606"/>
      <c r="N962" s="608"/>
      <c r="O962" s="608"/>
      <c r="P962" s="608"/>
      <c r="Q962" s="608"/>
    </row>
    <row r="963" spans="2:17" ht="27.75" customHeight="1" x14ac:dyDescent="0.25">
      <c r="B963" s="606"/>
      <c r="C963" s="606"/>
      <c r="D963" s="606"/>
      <c r="E963" s="606"/>
      <c r="F963" s="606"/>
      <c r="G963" s="606"/>
      <c r="H963" s="607"/>
      <c r="I963" s="606"/>
      <c r="J963" s="606"/>
      <c r="K963" s="606"/>
      <c r="L963" s="606"/>
      <c r="M963" s="606"/>
      <c r="N963" s="608"/>
      <c r="O963" s="608"/>
      <c r="P963" s="608"/>
      <c r="Q963" s="608"/>
    </row>
    <row r="964" spans="2:17" ht="27.75" customHeight="1" x14ac:dyDescent="0.25">
      <c r="B964" s="606"/>
      <c r="C964" s="606"/>
      <c r="D964" s="606"/>
      <c r="E964" s="606"/>
      <c r="F964" s="606"/>
      <c r="G964" s="606"/>
      <c r="H964" s="607"/>
      <c r="I964" s="606"/>
      <c r="J964" s="606"/>
      <c r="K964" s="606"/>
      <c r="L964" s="606"/>
      <c r="M964" s="606"/>
      <c r="N964" s="608"/>
      <c r="O964" s="608"/>
      <c r="P964" s="608"/>
      <c r="Q964" s="608"/>
    </row>
    <row r="965" spans="2:17" ht="27.75" customHeight="1" x14ac:dyDescent="0.25">
      <c r="B965" s="606"/>
      <c r="C965" s="606"/>
      <c r="D965" s="606"/>
      <c r="E965" s="606"/>
      <c r="F965" s="606"/>
      <c r="G965" s="606"/>
      <c r="H965" s="607"/>
      <c r="I965" s="606"/>
      <c r="J965" s="606"/>
      <c r="K965" s="606"/>
      <c r="L965" s="606"/>
      <c r="M965" s="606"/>
      <c r="N965" s="608"/>
      <c r="O965" s="608"/>
      <c r="P965" s="608"/>
      <c r="Q965" s="608"/>
    </row>
    <row r="966" spans="2:17" ht="27.75" customHeight="1" x14ac:dyDescent="0.25">
      <c r="B966" s="606"/>
      <c r="C966" s="606"/>
      <c r="D966" s="606"/>
      <c r="E966" s="606"/>
      <c r="F966" s="606"/>
      <c r="G966" s="606"/>
      <c r="H966" s="607"/>
      <c r="I966" s="606"/>
      <c r="J966" s="606"/>
      <c r="K966" s="606"/>
      <c r="L966" s="606"/>
      <c r="M966" s="606"/>
      <c r="N966" s="608"/>
      <c r="O966" s="608"/>
      <c r="P966" s="608"/>
      <c r="Q966" s="608"/>
    </row>
    <row r="967" spans="2:17" ht="27.75" customHeight="1" x14ac:dyDescent="0.25">
      <c r="B967" s="606"/>
      <c r="C967" s="606"/>
      <c r="D967" s="606"/>
      <c r="E967" s="606"/>
      <c r="F967" s="606"/>
      <c r="G967" s="606"/>
      <c r="H967" s="607"/>
      <c r="I967" s="606"/>
      <c r="J967" s="606"/>
      <c r="K967" s="606"/>
      <c r="L967" s="606"/>
      <c r="M967" s="606"/>
      <c r="N967" s="608"/>
      <c r="O967" s="608"/>
      <c r="P967" s="608"/>
      <c r="Q967" s="608"/>
    </row>
    <row r="968" spans="2:17" ht="27.75" customHeight="1" x14ac:dyDescent="0.25">
      <c r="B968" s="606"/>
      <c r="C968" s="606"/>
      <c r="D968" s="606"/>
      <c r="E968" s="606"/>
      <c r="F968" s="606"/>
      <c r="G968" s="606"/>
      <c r="H968" s="607"/>
      <c r="I968" s="606"/>
      <c r="J968" s="606"/>
      <c r="K968" s="606"/>
      <c r="L968" s="606"/>
      <c r="M968" s="606"/>
      <c r="N968" s="608"/>
      <c r="O968" s="608"/>
      <c r="P968" s="608"/>
      <c r="Q968" s="608"/>
    </row>
    <row r="969" spans="2:17" ht="27.75" customHeight="1" x14ac:dyDescent="0.25">
      <c r="B969" s="606"/>
      <c r="C969" s="606"/>
      <c r="D969" s="606"/>
      <c r="E969" s="606"/>
      <c r="F969" s="606"/>
      <c r="G969" s="606"/>
      <c r="H969" s="607"/>
      <c r="I969" s="606"/>
      <c r="J969" s="606"/>
      <c r="K969" s="606"/>
      <c r="L969" s="606"/>
      <c r="M969" s="606"/>
      <c r="N969" s="608"/>
      <c r="O969" s="608"/>
      <c r="P969" s="608"/>
      <c r="Q969" s="608"/>
    </row>
    <row r="970" spans="2:17" ht="27.75" customHeight="1" x14ac:dyDescent="0.25">
      <c r="B970" s="606"/>
      <c r="C970" s="606"/>
      <c r="D970" s="606"/>
      <c r="E970" s="606"/>
      <c r="F970" s="606"/>
      <c r="G970" s="606"/>
      <c r="H970" s="607"/>
      <c r="I970" s="606"/>
      <c r="J970" s="606"/>
      <c r="K970" s="606"/>
      <c r="L970" s="606"/>
      <c r="M970" s="606"/>
      <c r="N970" s="608"/>
      <c r="O970" s="608"/>
      <c r="P970" s="608"/>
      <c r="Q970" s="608"/>
    </row>
    <row r="971" spans="2:17" ht="27.75" customHeight="1" x14ac:dyDescent="0.25">
      <c r="B971" s="606"/>
      <c r="C971" s="606"/>
      <c r="D971" s="606"/>
      <c r="E971" s="606"/>
      <c r="F971" s="606"/>
      <c r="G971" s="606"/>
      <c r="H971" s="607"/>
      <c r="I971" s="606"/>
      <c r="J971" s="606"/>
      <c r="K971" s="606"/>
      <c r="L971" s="606"/>
      <c r="M971" s="606"/>
      <c r="N971" s="608"/>
      <c r="O971" s="608"/>
      <c r="P971" s="608"/>
      <c r="Q971" s="608"/>
    </row>
    <row r="972" spans="2:17" ht="27.75" customHeight="1" x14ac:dyDescent="0.25">
      <c r="B972" s="606"/>
      <c r="C972" s="606"/>
      <c r="D972" s="606"/>
      <c r="E972" s="606"/>
      <c r="F972" s="606"/>
      <c r="G972" s="606"/>
      <c r="H972" s="607"/>
      <c r="I972" s="606"/>
      <c r="J972" s="606"/>
      <c r="K972" s="606"/>
      <c r="L972" s="606"/>
      <c r="M972" s="606"/>
      <c r="N972" s="608"/>
      <c r="O972" s="608"/>
      <c r="P972" s="608"/>
      <c r="Q972" s="608"/>
    </row>
    <row r="973" spans="2:17" ht="27.75" customHeight="1" x14ac:dyDescent="0.25">
      <c r="B973" s="606"/>
      <c r="C973" s="606"/>
      <c r="D973" s="606"/>
      <c r="E973" s="606"/>
      <c r="F973" s="606"/>
      <c r="G973" s="606"/>
      <c r="H973" s="607"/>
      <c r="I973" s="606"/>
      <c r="J973" s="606"/>
      <c r="K973" s="606"/>
      <c r="L973" s="606"/>
      <c r="M973" s="606"/>
      <c r="N973" s="608"/>
      <c r="O973" s="608"/>
      <c r="P973" s="608"/>
      <c r="Q973" s="608"/>
    </row>
    <row r="974" spans="2:17" ht="27.75" customHeight="1" x14ac:dyDescent="0.25">
      <c r="B974" s="606"/>
      <c r="C974" s="606"/>
      <c r="D974" s="606"/>
      <c r="E974" s="606"/>
      <c r="F974" s="606"/>
      <c r="G974" s="606"/>
      <c r="H974" s="607"/>
      <c r="I974" s="606"/>
      <c r="J974" s="606"/>
      <c r="K974" s="606"/>
      <c r="L974" s="606"/>
      <c r="M974" s="606"/>
      <c r="N974" s="608"/>
      <c r="O974" s="608"/>
      <c r="P974" s="608"/>
      <c r="Q974" s="608"/>
    </row>
    <row r="975" spans="2:17" ht="27.75" customHeight="1" x14ac:dyDescent="0.25">
      <c r="B975" s="606"/>
      <c r="C975" s="606"/>
      <c r="D975" s="606"/>
      <c r="E975" s="606"/>
      <c r="F975" s="606"/>
      <c r="G975" s="606"/>
      <c r="H975" s="607"/>
      <c r="I975" s="606"/>
      <c r="J975" s="606"/>
      <c r="K975" s="606"/>
      <c r="L975" s="606"/>
      <c r="M975" s="606"/>
      <c r="N975" s="608"/>
      <c r="O975" s="608"/>
      <c r="P975" s="608"/>
      <c r="Q975" s="608"/>
    </row>
    <row r="976" spans="2:17" ht="27.75" customHeight="1" x14ac:dyDescent="0.25">
      <c r="B976" s="606"/>
      <c r="C976" s="606"/>
      <c r="D976" s="606"/>
      <c r="E976" s="606"/>
      <c r="F976" s="606"/>
      <c r="G976" s="606"/>
      <c r="H976" s="607"/>
      <c r="I976" s="606"/>
      <c r="J976" s="606"/>
      <c r="K976" s="606"/>
      <c r="L976" s="606"/>
      <c r="M976" s="606"/>
      <c r="N976" s="608"/>
      <c r="O976" s="608"/>
      <c r="P976" s="608"/>
      <c r="Q976" s="608"/>
    </row>
    <row r="977" spans="2:17" ht="27.75" customHeight="1" x14ac:dyDescent="0.25">
      <c r="B977" s="606"/>
      <c r="C977" s="606"/>
      <c r="D977" s="606"/>
      <c r="E977" s="606"/>
      <c r="F977" s="606"/>
      <c r="G977" s="606"/>
      <c r="H977" s="607"/>
      <c r="I977" s="606"/>
      <c r="J977" s="606"/>
      <c r="K977" s="606"/>
      <c r="L977" s="606"/>
      <c r="M977" s="606"/>
      <c r="N977" s="608"/>
      <c r="O977" s="608"/>
      <c r="P977" s="608"/>
      <c r="Q977" s="608"/>
    </row>
    <row r="978" spans="2:17" ht="27.75" customHeight="1" x14ac:dyDescent="0.25">
      <c r="B978" s="606"/>
      <c r="C978" s="606"/>
      <c r="D978" s="606"/>
      <c r="E978" s="606"/>
      <c r="F978" s="606"/>
      <c r="G978" s="606"/>
      <c r="H978" s="607"/>
      <c r="I978" s="606"/>
      <c r="J978" s="606"/>
      <c r="K978" s="606"/>
      <c r="L978" s="606"/>
      <c r="M978" s="606"/>
      <c r="N978" s="608"/>
      <c r="O978" s="608"/>
      <c r="P978" s="608"/>
      <c r="Q978" s="608"/>
    </row>
    <row r="979" spans="2:17" ht="27.75" customHeight="1" x14ac:dyDescent="0.25">
      <c r="B979" s="606"/>
      <c r="C979" s="606"/>
      <c r="D979" s="606"/>
      <c r="E979" s="606"/>
      <c r="F979" s="606"/>
      <c r="G979" s="606"/>
      <c r="H979" s="607"/>
      <c r="I979" s="606"/>
      <c r="J979" s="606"/>
      <c r="K979" s="606"/>
      <c r="L979" s="606"/>
      <c r="M979" s="606"/>
      <c r="N979" s="608"/>
      <c r="O979" s="608"/>
      <c r="P979" s="608"/>
      <c r="Q979" s="608"/>
    </row>
    <row r="980" spans="2:17" ht="27.75" customHeight="1" x14ac:dyDescent="0.25">
      <c r="B980" s="606"/>
      <c r="C980" s="606"/>
      <c r="D980" s="606"/>
      <c r="E980" s="606"/>
      <c r="F980" s="606"/>
      <c r="G980" s="606"/>
      <c r="H980" s="607"/>
      <c r="I980" s="606"/>
      <c r="J980" s="606"/>
      <c r="K980" s="606"/>
      <c r="L980" s="606"/>
      <c r="M980" s="606"/>
      <c r="N980" s="608"/>
      <c r="O980" s="608"/>
      <c r="P980" s="608"/>
      <c r="Q980" s="608"/>
    </row>
    <row r="981" spans="2:17" ht="27.75" customHeight="1" x14ac:dyDescent="0.25">
      <c r="B981" s="606"/>
      <c r="C981" s="606"/>
      <c r="D981" s="606"/>
      <c r="E981" s="606"/>
      <c r="F981" s="606"/>
      <c r="G981" s="606"/>
      <c r="H981" s="607"/>
      <c r="I981" s="606"/>
      <c r="J981" s="606"/>
      <c r="K981" s="606"/>
      <c r="L981" s="606"/>
      <c r="M981" s="606"/>
      <c r="N981" s="608"/>
      <c r="O981" s="608"/>
      <c r="P981" s="608"/>
      <c r="Q981" s="608"/>
    </row>
    <row r="982" spans="2:17" ht="27.75" customHeight="1" x14ac:dyDescent="0.25">
      <c r="B982" s="606"/>
      <c r="C982" s="606"/>
      <c r="D982" s="606"/>
      <c r="E982" s="606"/>
      <c r="F982" s="606"/>
      <c r="G982" s="606"/>
      <c r="H982" s="607"/>
      <c r="I982" s="606"/>
      <c r="J982" s="606"/>
      <c r="K982" s="606"/>
      <c r="L982" s="606"/>
      <c r="M982" s="606"/>
      <c r="N982" s="608"/>
      <c r="O982" s="608"/>
      <c r="P982" s="608"/>
      <c r="Q982" s="608"/>
    </row>
    <row r="983" spans="2:17" ht="27.75" customHeight="1" x14ac:dyDescent="0.25">
      <c r="B983" s="606"/>
      <c r="C983" s="606"/>
      <c r="D983" s="606"/>
      <c r="E983" s="606"/>
      <c r="F983" s="606"/>
      <c r="G983" s="606"/>
      <c r="H983" s="607"/>
      <c r="I983" s="606"/>
      <c r="J983" s="606"/>
      <c r="K983" s="606"/>
      <c r="L983" s="606"/>
      <c r="M983" s="606"/>
      <c r="N983" s="608"/>
      <c r="O983" s="608"/>
      <c r="P983" s="608"/>
      <c r="Q983" s="608"/>
    </row>
    <row r="984" spans="2:17" ht="27.75" customHeight="1" x14ac:dyDescent="0.25">
      <c r="B984" s="606"/>
      <c r="C984" s="606"/>
      <c r="D984" s="606"/>
      <c r="E984" s="606"/>
      <c r="F984" s="606"/>
      <c r="G984" s="606"/>
      <c r="H984" s="607"/>
      <c r="I984" s="606"/>
      <c r="J984" s="606"/>
      <c r="K984" s="606"/>
      <c r="L984" s="606"/>
      <c r="M984" s="606"/>
      <c r="N984" s="608"/>
      <c r="O984" s="608"/>
      <c r="P984" s="608"/>
      <c r="Q984" s="608"/>
    </row>
    <row r="985" spans="2:17" ht="27.75" customHeight="1" x14ac:dyDescent="0.25">
      <c r="B985" s="606"/>
      <c r="C985" s="606"/>
      <c r="D985" s="606"/>
      <c r="E985" s="606"/>
      <c r="F985" s="606"/>
      <c r="G985" s="606"/>
      <c r="H985" s="607"/>
      <c r="I985" s="606"/>
      <c r="J985" s="606"/>
      <c r="K985" s="606"/>
      <c r="L985" s="606"/>
      <c r="M985" s="606"/>
      <c r="N985" s="608"/>
      <c r="O985" s="608"/>
      <c r="P985" s="608"/>
      <c r="Q985" s="608"/>
    </row>
    <row r="986" spans="2:17" ht="27.75" customHeight="1" x14ac:dyDescent="0.25">
      <c r="B986" s="606"/>
      <c r="C986" s="606"/>
      <c r="D986" s="606"/>
      <c r="E986" s="606"/>
      <c r="F986" s="606"/>
      <c r="G986" s="606"/>
      <c r="H986" s="607"/>
      <c r="I986" s="606"/>
      <c r="J986" s="606"/>
      <c r="K986" s="606"/>
      <c r="L986" s="606"/>
      <c r="M986" s="606"/>
      <c r="N986" s="608"/>
      <c r="O986" s="608"/>
      <c r="P986" s="608"/>
      <c r="Q986" s="608"/>
    </row>
    <row r="987" spans="2:17" ht="27.75" customHeight="1" x14ac:dyDescent="0.25">
      <c r="B987" s="606"/>
      <c r="C987" s="606"/>
      <c r="D987" s="606"/>
      <c r="E987" s="606"/>
      <c r="F987" s="606"/>
      <c r="G987" s="606"/>
      <c r="H987" s="607"/>
      <c r="I987" s="606"/>
      <c r="J987" s="606"/>
      <c r="K987" s="606"/>
      <c r="L987" s="606"/>
      <c r="M987" s="606"/>
      <c r="N987" s="608"/>
      <c r="O987" s="608"/>
      <c r="P987" s="608"/>
      <c r="Q987" s="608"/>
    </row>
    <row r="988" spans="2:17" ht="27.75" customHeight="1" x14ac:dyDescent="0.25">
      <c r="B988" s="606"/>
      <c r="C988" s="606"/>
      <c r="D988" s="606"/>
      <c r="E988" s="606"/>
      <c r="F988" s="606"/>
      <c r="G988" s="606"/>
      <c r="H988" s="607"/>
      <c r="I988" s="606"/>
      <c r="J988" s="606"/>
      <c r="K988" s="606"/>
      <c r="L988" s="606"/>
      <c r="M988" s="606"/>
      <c r="N988" s="608"/>
      <c r="O988" s="608"/>
      <c r="P988" s="608"/>
      <c r="Q988" s="608"/>
    </row>
    <row r="989" spans="2:17" ht="27.75" customHeight="1" x14ac:dyDescent="0.25">
      <c r="B989" s="606"/>
      <c r="C989" s="606"/>
      <c r="D989" s="606"/>
      <c r="E989" s="606"/>
      <c r="F989" s="606"/>
      <c r="G989" s="606"/>
      <c r="H989" s="607"/>
      <c r="I989" s="606"/>
      <c r="J989" s="606"/>
      <c r="K989" s="606"/>
      <c r="L989" s="606"/>
      <c r="M989" s="606"/>
      <c r="N989" s="608"/>
      <c r="O989" s="608"/>
      <c r="P989" s="608"/>
      <c r="Q989" s="608"/>
    </row>
    <row r="990" spans="2:17" ht="27.75" customHeight="1" x14ac:dyDescent="0.25">
      <c r="B990" s="606"/>
      <c r="C990" s="606"/>
      <c r="D990" s="606"/>
      <c r="E990" s="606"/>
      <c r="F990" s="606"/>
      <c r="G990" s="606"/>
      <c r="H990" s="607"/>
      <c r="I990" s="606"/>
      <c r="J990" s="606"/>
      <c r="K990" s="606"/>
      <c r="L990" s="606"/>
      <c r="M990" s="606"/>
      <c r="N990" s="608"/>
      <c r="O990" s="608"/>
      <c r="P990" s="608"/>
      <c r="Q990" s="608"/>
    </row>
    <row r="991" spans="2:17" ht="27.75" customHeight="1" x14ac:dyDescent="0.25">
      <c r="B991" s="606"/>
      <c r="C991" s="606"/>
      <c r="D991" s="606"/>
      <c r="E991" s="606"/>
      <c r="F991" s="606"/>
      <c r="G991" s="606"/>
      <c r="H991" s="607"/>
      <c r="I991" s="606"/>
      <c r="J991" s="606"/>
      <c r="K991" s="606"/>
      <c r="L991" s="606"/>
      <c r="M991" s="606"/>
      <c r="N991" s="608"/>
      <c r="O991" s="608"/>
      <c r="P991" s="608"/>
      <c r="Q991" s="608"/>
    </row>
    <row r="992" spans="2:17" ht="27.75" customHeight="1" x14ac:dyDescent="0.25">
      <c r="B992" s="606"/>
      <c r="C992" s="606"/>
      <c r="D992" s="606"/>
      <c r="E992" s="606"/>
      <c r="F992" s="606"/>
      <c r="G992" s="606"/>
      <c r="H992" s="607"/>
      <c r="I992" s="606"/>
      <c r="J992" s="606"/>
      <c r="K992" s="606"/>
      <c r="L992" s="606"/>
      <c r="M992" s="606"/>
      <c r="N992" s="608"/>
      <c r="O992" s="608"/>
      <c r="P992" s="608"/>
      <c r="Q992" s="608"/>
    </row>
    <row r="993" spans="2:17" ht="27.75" customHeight="1" x14ac:dyDescent="0.25">
      <c r="B993" s="606"/>
      <c r="C993" s="606"/>
      <c r="D993" s="606"/>
      <c r="E993" s="606"/>
      <c r="F993" s="606"/>
      <c r="G993" s="606"/>
      <c r="H993" s="607"/>
      <c r="I993" s="606"/>
      <c r="J993" s="606"/>
      <c r="K993" s="606"/>
      <c r="L993" s="606"/>
      <c r="M993" s="606"/>
      <c r="N993" s="608"/>
      <c r="O993" s="608"/>
      <c r="P993" s="608"/>
      <c r="Q993" s="608"/>
    </row>
    <row r="994" spans="2:17" ht="27.75" customHeight="1" x14ac:dyDescent="0.25">
      <c r="B994" s="606"/>
      <c r="C994" s="606"/>
      <c r="D994" s="606"/>
      <c r="E994" s="606"/>
      <c r="F994" s="606"/>
      <c r="G994" s="606"/>
      <c r="H994" s="607"/>
      <c r="I994" s="606"/>
      <c r="J994" s="606"/>
      <c r="K994" s="606"/>
      <c r="L994" s="606"/>
      <c r="M994" s="606"/>
      <c r="N994" s="608"/>
      <c r="O994" s="608"/>
      <c r="P994" s="608"/>
      <c r="Q994" s="608"/>
    </row>
    <row r="995" spans="2:17" ht="27.75" customHeight="1" x14ac:dyDescent="0.25">
      <c r="B995" s="606"/>
      <c r="C995" s="606"/>
      <c r="D995" s="606"/>
      <c r="E995" s="606"/>
      <c r="F995" s="606"/>
      <c r="G995" s="606"/>
      <c r="H995" s="607"/>
      <c r="I995" s="606"/>
      <c r="J995" s="606"/>
      <c r="K995" s="606"/>
      <c r="L995" s="606"/>
      <c r="M995" s="606"/>
      <c r="N995" s="608"/>
      <c r="O995" s="608"/>
      <c r="P995" s="608"/>
      <c r="Q995" s="608"/>
    </row>
    <row r="996" spans="2:17" ht="27.75" customHeight="1" x14ac:dyDescent="0.25">
      <c r="B996" s="606"/>
      <c r="C996" s="606"/>
      <c r="D996" s="606"/>
      <c r="E996" s="606"/>
      <c r="F996" s="606"/>
      <c r="G996" s="606"/>
      <c r="H996" s="607"/>
      <c r="I996" s="606"/>
      <c r="J996" s="606"/>
      <c r="K996" s="606"/>
      <c r="L996" s="606"/>
      <c r="M996" s="606"/>
      <c r="N996" s="608"/>
      <c r="O996" s="608"/>
      <c r="P996" s="608"/>
      <c r="Q996" s="608"/>
    </row>
    <row r="997" spans="2:17" ht="27.75" customHeight="1" x14ac:dyDescent="0.25">
      <c r="B997" s="606"/>
      <c r="C997" s="606"/>
      <c r="D997" s="606"/>
      <c r="E997" s="606"/>
      <c r="F997" s="606"/>
      <c r="G997" s="606"/>
      <c r="H997" s="607"/>
      <c r="I997" s="606"/>
      <c r="J997" s="606"/>
      <c r="K997" s="606"/>
      <c r="L997" s="606"/>
      <c r="M997" s="606"/>
      <c r="N997" s="608"/>
      <c r="O997" s="608"/>
      <c r="P997" s="608"/>
      <c r="Q997" s="608"/>
    </row>
    <row r="998" spans="2:17" ht="27.75" customHeight="1" x14ac:dyDescent="0.25">
      <c r="B998" s="606"/>
      <c r="C998" s="606"/>
      <c r="D998" s="606"/>
      <c r="E998" s="606"/>
      <c r="F998" s="606"/>
      <c r="G998" s="606"/>
      <c r="H998" s="607"/>
      <c r="I998" s="606"/>
      <c r="J998" s="606"/>
      <c r="K998" s="606"/>
      <c r="L998" s="606"/>
      <c r="M998" s="606"/>
      <c r="N998" s="608"/>
      <c r="O998" s="608"/>
      <c r="P998" s="608"/>
      <c r="Q998" s="608"/>
    </row>
    <row r="999" spans="2:17" ht="27.75" customHeight="1" x14ac:dyDescent="0.25">
      <c r="B999" s="606"/>
      <c r="C999" s="606"/>
      <c r="D999" s="606"/>
      <c r="E999" s="606"/>
      <c r="F999" s="606"/>
      <c r="G999" s="606"/>
      <c r="H999" s="607"/>
      <c r="I999" s="606"/>
      <c r="J999" s="606"/>
      <c r="K999" s="606"/>
      <c r="L999" s="606"/>
      <c r="M999" s="606"/>
      <c r="N999" s="608"/>
      <c r="O999" s="608"/>
      <c r="P999" s="608"/>
      <c r="Q999" s="608"/>
    </row>
    <row r="1000" spans="2:17" ht="27.75" customHeight="1" x14ac:dyDescent="0.25">
      <c r="B1000" s="606"/>
      <c r="C1000" s="606"/>
      <c r="D1000" s="606"/>
      <c r="E1000" s="606"/>
      <c r="F1000" s="606"/>
      <c r="G1000" s="606"/>
      <c r="H1000" s="607"/>
      <c r="I1000" s="606"/>
      <c r="J1000" s="606"/>
      <c r="K1000" s="606"/>
      <c r="L1000" s="606"/>
      <c r="M1000" s="606"/>
      <c r="N1000" s="608"/>
      <c r="O1000" s="608"/>
      <c r="P1000" s="608"/>
      <c r="Q1000" s="608"/>
    </row>
    <row r="1001" spans="2:17" ht="27.75" customHeight="1" x14ac:dyDescent="0.25">
      <c r="B1001" s="606"/>
      <c r="C1001" s="606"/>
      <c r="D1001" s="606"/>
      <c r="E1001" s="606"/>
      <c r="F1001" s="606"/>
      <c r="G1001" s="606"/>
      <c r="H1001" s="607"/>
      <c r="I1001" s="606"/>
      <c r="J1001" s="606"/>
      <c r="K1001" s="606"/>
      <c r="L1001" s="606"/>
      <c r="M1001" s="606"/>
      <c r="N1001" s="608"/>
      <c r="O1001" s="608"/>
      <c r="P1001" s="608"/>
      <c r="Q1001" s="608"/>
    </row>
    <row r="1002" spans="2:17" ht="27.75" customHeight="1" x14ac:dyDescent="0.25">
      <c r="B1002" s="606"/>
      <c r="C1002" s="606"/>
      <c r="D1002" s="606"/>
      <c r="E1002" s="606"/>
      <c r="F1002" s="606"/>
      <c r="G1002" s="606"/>
      <c r="H1002" s="607"/>
      <c r="I1002" s="606"/>
      <c r="J1002" s="606"/>
      <c r="K1002" s="606"/>
      <c r="L1002" s="606"/>
      <c r="M1002" s="606"/>
      <c r="N1002" s="608"/>
      <c r="O1002" s="608"/>
      <c r="P1002" s="608"/>
      <c r="Q1002" s="608"/>
    </row>
    <row r="1003" spans="2:17" ht="27.75" customHeight="1" x14ac:dyDescent="0.25">
      <c r="B1003" s="606"/>
      <c r="C1003" s="606"/>
      <c r="D1003" s="606"/>
      <c r="E1003" s="606"/>
      <c r="F1003" s="606"/>
      <c r="G1003" s="606"/>
      <c r="H1003" s="607"/>
      <c r="I1003" s="606"/>
      <c r="J1003" s="606"/>
      <c r="K1003" s="606"/>
      <c r="L1003" s="606"/>
      <c r="M1003" s="606"/>
      <c r="N1003" s="608"/>
      <c r="O1003" s="608"/>
      <c r="P1003" s="608"/>
      <c r="Q1003" s="608"/>
    </row>
    <row r="1004" spans="2:17" ht="27.75" customHeight="1" x14ac:dyDescent="0.25">
      <c r="B1004" s="606"/>
      <c r="C1004" s="606"/>
      <c r="D1004" s="606"/>
      <c r="E1004" s="606"/>
      <c r="F1004" s="606"/>
      <c r="G1004" s="606"/>
      <c r="H1004" s="607"/>
      <c r="I1004" s="606"/>
      <c r="J1004" s="606"/>
      <c r="K1004" s="606"/>
      <c r="L1004" s="606"/>
      <c r="M1004" s="606"/>
      <c r="N1004" s="608"/>
      <c r="O1004" s="608"/>
      <c r="P1004" s="608"/>
      <c r="Q1004" s="608"/>
    </row>
    <row r="1005" spans="2:17" ht="27.75" customHeight="1" x14ac:dyDescent="0.25">
      <c r="B1005" s="606"/>
      <c r="C1005" s="606"/>
      <c r="D1005" s="606"/>
      <c r="E1005" s="606"/>
      <c r="F1005" s="606"/>
      <c r="G1005" s="606"/>
      <c r="H1005" s="607"/>
      <c r="I1005" s="606"/>
      <c r="J1005" s="606"/>
      <c r="K1005" s="606"/>
      <c r="L1005" s="606"/>
      <c r="M1005" s="606"/>
      <c r="N1005" s="608"/>
      <c r="O1005" s="608"/>
      <c r="P1005" s="608"/>
      <c r="Q1005" s="608"/>
    </row>
    <row r="1006" spans="2:17" ht="27.75" customHeight="1" x14ac:dyDescent="0.25">
      <c r="B1006" s="606"/>
      <c r="C1006" s="606"/>
      <c r="D1006" s="606"/>
      <c r="E1006" s="606"/>
      <c r="F1006" s="606"/>
      <c r="G1006" s="606"/>
      <c r="H1006" s="607"/>
      <c r="I1006" s="606"/>
      <c r="J1006" s="606"/>
      <c r="K1006" s="606"/>
      <c r="L1006" s="606"/>
      <c r="M1006" s="606"/>
      <c r="N1006" s="608"/>
      <c r="O1006" s="608"/>
      <c r="P1006" s="608"/>
      <c r="Q1006" s="608"/>
    </row>
    <row r="1007" spans="2:17" ht="27.75" customHeight="1" x14ac:dyDescent="0.25">
      <c r="B1007" s="606"/>
      <c r="C1007" s="606"/>
      <c r="D1007" s="606"/>
      <c r="E1007" s="606"/>
      <c r="F1007" s="606"/>
      <c r="G1007" s="606"/>
      <c r="H1007" s="607"/>
      <c r="I1007" s="606"/>
      <c r="J1007" s="606"/>
      <c r="K1007" s="606"/>
      <c r="L1007" s="606"/>
      <c r="M1007" s="606"/>
      <c r="N1007" s="608"/>
      <c r="O1007" s="608"/>
      <c r="P1007" s="608"/>
      <c r="Q1007" s="608"/>
    </row>
    <row r="1008" spans="2:17" ht="27.75" customHeight="1" x14ac:dyDescent="0.25">
      <c r="B1008" s="606"/>
      <c r="C1008" s="606"/>
      <c r="D1008" s="606"/>
      <c r="E1008" s="606"/>
      <c r="F1008" s="606"/>
      <c r="G1008" s="606"/>
      <c r="H1008" s="607"/>
      <c r="I1008" s="606"/>
      <c r="J1008" s="606"/>
      <c r="K1008" s="606"/>
      <c r="L1008" s="606"/>
      <c r="M1008" s="606"/>
      <c r="N1008" s="608"/>
      <c r="O1008" s="608"/>
      <c r="P1008" s="608"/>
      <c r="Q1008" s="608"/>
    </row>
    <row r="1009" spans="2:17" ht="27.75" customHeight="1" x14ac:dyDescent="0.25">
      <c r="B1009" s="606"/>
      <c r="C1009" s="606"/>
      <c r="D1009" s="606"/>
      <c r="E1009" s="606"/>
      <c r="F1009" s="606"/>
      <c r="G1009" s="606"/>
      <c r="H1009" s="607"/>
      <c r="I1009" s="606"/>
      <c r="J1009" s="606"/>
      <c r="K1009" s="606"/>
      <c r="L1009" s="606"/>
      <c r="M1009" s="606"/>
      <c r="N1009" s="608"/>
      <c r="O1009" s="608"/>
      <c r="P1009" s="608"/>
      <c r="Q1009" s="608"/>
    </row>
    <row r="1010" spans="2:17" ht="27.75" customHeight="1" x14ac:dyDescent="0.25">
      <c r="B1010" s="606"/>
      <c r="C1010" s="606"/>
      <c r="D1010" s="606"/>
      <c r="E1010" s="606"/>
      <c r="F1010" s="606"/>
      <c r="G1010" s="606"/>
      <c r="H1010" s="607"/>
      <c r="I1010" s="606"/>
      <c r="J1010" s="606"/>
      <c r="K1010" s="606"/>
      <c r="L1010" s="606"/>
      <c r="M1010" s="606"/>
      <c r="N1010" s="608"/>
      <c r="O1010" s="608"/>
      <c r="P1010" s="608"/>
      <c r="Q1010" s="608"/>
    </row>
    <row r="1011" spans="2:17" ht="27.75" customHeight="1" x14ac:dyDescent="0.25">
      <c r="B1011" s="606"/>
      <c r="C1011" s="606"/>
      <c r="D1011" s="606"/>
      <c r="E1011" s="606"/>
      <c r="F1011" s="606"/>
      <c r="G1011" s="606"/>
      <c r="H1011" s="607"/>
      <c r="I1011" s="606"/>
      <c r="J1011" s="606"/>
      <c r="K1011" s="606"/>
      <c r="L1011" s="606"/>
      <c r="M1011" s="606"/>
      <c r="N1011" s="608"/>
      <c r="O1011" s="608"/>
      <c r="P1011" s="608"/>
      <c r="Q1011" s="608"/>
    </row>
    <row r="1012" spans="2:17" ht="27.75" customHeight="1" x14ac:dyDescent="0.25">
      <c r="B1012" s="606"/>
      <c r="C1012" s="606"/>
      <c r="D1012" s="606"/>
      <c r="E1012" s="606"/>
      <c r="F1012" s="606"/>
      <c r="G1012" s="606"/>
      <c r="H1012" s="607"/>
      <c r="I1012" s="606"/>
      <c r="J1012" s="606"/>
      <c r="K1012" s="606"/>
      <c r="L1012" s="606"/>
      <c r="M1012" s="606"/>
      <c r="N1012" s="608"/>
      <c r="O1012" s="608"/>
      <c r="P1012" s="608"/>
      <c r="Q1012" s="608"/>
    </row>
    <row r="1013" spans="2:17" ht="27.75" customHeight="1" x14ac:dyDescent="0.25">
      <c r="B1013" s="606"/>
      <c r="C1013" s="606"/>
      <c r="D1013" s="606"/>
      <c r="E1013" s="606"/>
      <c r="F1013" s="606"/>
      <c r="G1013" s="606"/>
      <c r="H1013" s="607"/>
      <c r="I1013" s="606"/>
      <c r="J1013" s="606"/>
      <c r="K1013" s="606"/>
      <c r="L1013" s="606"/>
      <c r="M1013" s="606"/>
      <c r="N1013" s="608"/>
      <c r="O1013" s="608"/>
      <c r="P1013" s="608"/>
      <c r="Q1013" s="608"/>
    </row>
    <row r="1014" spans="2:17" ht="27.75" customHeight="1" x14ac:dyDescent="0.25">
      <c r="B1014" s="606"/>
      <c r="C1014" s="606"/>
      <c r="D1014" s="606"/>
      <c r="E1014" s="606"/>
      <c r="F1014" s="606"/>
      <c r="G1014" s="606"/>
      <c r="H1014" s="607"/>
      <c r="I1014" s="606"/>
      <c r="J1014" s="606"/>
      <c r="K1014" s="606"/>
      <c r="L1014" s="606"/>
      <c r="M1014" s="606"/>
      <c r="N1014" s="608"/>
      <c r="O1014" s="608"/>
      <c r="P1014" s="608"/>
      <c r="Q1014" s="608"/>
    </row>
    <row r="1015" spans="2:17" ht="27.75" customHeight="1" x14ac:dyDescent="0.25">
      <c r="B1015" s="606"/>
      <c r="C1015" s="606"/>
      <c r="D1015" s="606"/>
      <c r="E1015" s="606"/>
      <c r="F1015" s="606"/>
      <c r="G1015" s="606"/>
      <c r="H1015" s="607"/>
      <c r="I1015" s="606"/>
      <c r="J1015" s="606"/>
      <c r="K1015" s="606"/>
      <c r="L1015" s="606"/>
      <c r="M1015" s="606"/>
      <c r="N1015" s="608"/>
      <c r="O1015" s="608"/>
      <c r="P1015" s="608"/>
      <c r="Q1015" s="608"/>
    </row>
    <row r="1016" spans="2:17" ht="27.75" customHeight="1" x14ac:dyDescent="0.25">
      <c r="B1016" s="606"/>
      <c r="C1016" s="606"/>
      <c r="D1016" s="606"/>
      <c r="E1016" s="606"/>
      <c r="F1016" s="606"/>
      <c r="G1016" s="606"/>
      <c r="H1016" s="607"/>
      <c r="I1016" s="606"/>
      <c r="J1016" s="606"/>
      <c r="K1016" s="606"/>
      <c r="L1016" s="606"/>
      <c r="M1016" s="606"/>
      <c r="N1016" s="608"/>
      <c r="O1016" s="608"/>
      <c r="P1016" s="608"/>
      <c r="Q1016" s="608"/>
    </row>
  </sheetData>
  <mergeCells count="105">
    <mergeCell ref="A86:A88"/>
    <mergeCell ref="B86:B88"/>
    <mergeCell ref="C86:C88"/>
    <mergeCell ref="D86:D88"/>
    <mergeCell ref="E86:E88"/>
    <mergeCell ref="F86:F88"/>
    <mergeCell ref="A82:A85"/>
    <mergeCell ref="B82:B85"/>
    <mergeCell ref="C82:C85"/>
    <mergeCell ref="D82:D85"/>
    <mergeCell ref="E82:E85"/>
    <mergeCell ref="F82:F85"/>
    <mergeCell ref="A72:A81"/>
    <mergeCell ref="B72:B81"/>
    <mergeCell ref="C72:C81"/>
    <mergeCell ref="D72:D81"/>
    <mergeCell ref="E72:E81"/>
    <mergeCell ref="F72:F81"/>
    <mergeCell ref="A65:A71"/>
    <mergeCell ref="B65:B71"/>
    <mergeCell ref="C65:C71"/>
    <mergeCell ref="D65:D71"/>
    <mergeCell ref="E65:E71"/>
    <mergeCell ref="F65:F71"/>
    <mergeCell ref="A62:A64"/>
    <mergeCell ref="B62:B63"/>
    <mergeCell ref="C62:C63"/>
    <mergeCell ref="D62:D63"/>
    <mergeCell ref="E62:E63"/>
    <mergeCell ref="F62:F63"/>
    <mergeCell ref="G56:G57"/>
    <mergeCell ref="A60:A61"/>
    <mergeCell ref="B60:B61"/>
    <mergeCell ref="C60:C61"/>
    <mergeCell ref="D60:D61"/>
    <mergeCell ref="E60:E61"/>
    <mergeCell ref="F60:F61"/>
    <mergeCell ref="A55:A57"/>
    <mergeCell ref="B55:B57"/>
    <mergeCell ref="C55:C57"/>
    <mergeCell ref="D55:D57"/>
    <mergeCell ref="E55:E57"/>
    <mergeCell ref="F55:F57"/>
    <mergeCell ref="A50:A54"/>
    <mergeCell ref="B50:B54"/>
    <mergeCell ref="C50:C54"/>
    <mergeCell ref="D50:D54"/>
    <mergeCell ref="E50:E54"/>
    <mergeCell ref="F50:F54"/>
    <mergeCell ref="A47:A49"/>
    <mergeCell ref="B47:B49"/>
    <mergeCell ref="C47:C49"/>
    <mergeCell ref="D47:D49"/>
    <mergeCell ref="E47:E49"/>
    <mergeCell ref="F47:F49"/>
    <mergeCell ref="A42:A44"/>
    <mergeCell ref="B42:B44"/>
    <mergeCell ref="C42:C44"/>
    <mergeCell ref="D42:D44"/>
    <mergeCell ref="E42:E44"/>
    <mergeCell ref="F42:F44"/>
    <mergeCell ref="A38:A41"/>
    <mergeCell ref="B38:B41"/>
    <mergeCell ref="C38:C41"/>
    <mergeCell ref="D38:D41"/>
    <mergeCell ref="E38:E41"/>
    <mergeCell ref="F38:F41"/>
    <mergeCell ref="A22:A35"/>
    <mergeCell ref="B22:B34"/>
    <mergeCell ref="C22:C34"/>
    <mergeCell ref="D22:D34"/>
    <mergeCell ref="E22:E34"/>
    <mergeCell ref="F22:F34"/>
    <mergeCell ref="A16:A19"/>
    <mergeCell ref="B16:B19"/>
    <mergeCell ref="C16:C19"/>
    <mergeCell ref="D16:D19"/>
    <mergeCell ref="E16:E19"/>
    <mergeCell ref="F16:F19"/>
    <mergeCell ref="A14:A15"/>
    <mergeCell ref="B14:B15"/>
    <mergeCell ref="C14:C15"/>
    <mergeCell ref="D14:D15"/>
    <mergeCell ref="E14:E15"/>
    <mergeCell ref="F14:F15"/>
    <mergeCell ref="A10:A12"/>
    <mergeCell ref="B10:B12"/>
    <mergeCell ref="C10:C12"/>
    <mergeCell ref="D10:D12"/>
    <mergeCell ref="E10:E12"/>
    <mergeCell ref="F10:F12"/>
    <mergeCell ref="A7:A9"/>
    <mergeCell ref="B7:B9"/>
    <mergeCell ref="C7:C9"/>
    <mergeCell ref="D7:D9"/>
    <mergeCell ref="E7:E9"/>
    <mergeCell ref="F7:F9"/>
    <mergeCell ref="A1:N1"/>
    <mergeCell ref="A2:N2"/>
    <mergeCell ref="A3:A4"/>
    <mergeCell ref="B3:F3"/>
    <mergeCell ref="G3:G4"/>
    <mergeCell ref="H3:H4"/>
    <mergeCell ref="I3:I4"/>
    <mergeCell ref="J3:N3"/>
  </mergeCells>
  <dataValidations count="1">
    <dataValidation allowBlank="1" showInputMessage="1" sqref="G36:G56 G78:G88 G7:G11 G58:G76 G13:G32" xr:uid="{73418D6B-4E7A-466D-8E15-FBF57B332F11}"/>
  </dataValidations>
  <pageMargins left="0.70866141732283472" right="0.2" top="0.74803149606299213" bottom="0.74803149606299213" header="0" footer="0"/>
  <pageSetup paperSize="14" scale="48"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N1020"/>
  <sheetViews>
    <sheetView tabSelected="1" topLeftCell="J1" zoomScale="71" zoomScaleNormal="71" workbookViewId="0">
      <pane ySplit="2" topLeftCell="A3" activePane="bottomLeft" state="frozen"/>
      <selection pane="bottomLeft" activeCell="L76" sqref="L76"/>
    </sheetView>
  </sheetViews>
  <sheetFormatPr baseColWidth="10" defaultColWidth="12.625" defaultRowHeight="15" customHeight="1" x14ac:dyDescent="0.2"/>
  <cols>
    <col min="1" max="1" width="28.625" bestFit="1" customWidth="1"/>
    <col min="2" max="2" width="19.5" bestFit="1" customWidth="1"/>
    <col min="3" max="3" width="17.75" bestFit="1" customWidth="1"/>
    <col min="4" max="4" width="19.5" bestFit="1" customWidth="1"/>
    <col min="5" max="5" width="23.125" customWidth="1"/>
    <col min="6" max="6" width="19.5" bestFit="1" customWidth="1"/>
    <col min="7" max="7" width="25.625" customWidth="1"/>
    <col min="8" max="8" width="42.375" customWidth="1"/>
    <col min="9" max="9" width="22.25" bestFit="1" customWidth="1"/>
    <col min="10" max="10" width="85.875" bestFit="1" customWidth="1"/>
    <col min="11" max="11" width="22.5" customWidth="1"/>
    <col min="12" max="12" width="40.625" customWidth="1"/>
    <col min="13" max="13" width="40.5" customWidth="1"/>
    <col min="14" max="14" width="24.25" customWidth="1"/>
    <col min="15" max="15" width="5" customWidth="1"/>
    <col min="16" max="17" width="5.25" customWidth="1"/>
    <col min="18" max="18" width="6.625" bestFit="1" customWidth="1"/>
    <col min="19" max="19" width="9" bestFit="1" customWidth="1"/>
    <col min="20" max="23" width="19" customWidth="1"/>
    <col min="24" max="24" width="39" customWidth="1"/>
    <col min="25" max="25" width="34.25" style="157" customWidth="1"/>
    <col min="26" max="26" width="82.75" style="157" customWidth="1"/>
    <col min="27" max="27" width="58.75" style="157" customWidth="1"/>
    <col min="28" max="28" width="20.875" style="157" bestFit="1" customWidth="1"/>
    <col min="29" max="29" width="36.375" style="157" bestFit="1" customWidth="1"/>
    <col min="30" max="30" width="22.75" style="157" bestFit="1" customWidth="1"/>
    <col min="31" max="31" width="34.125" style="157" bestFit="1" customWidth="1"/>
    <col min="32" max="32" width="17.375" style="157" bestFit="1" customWidth="1"/>
    <col min="33" max="33" width="12.625" style="157" customWidth="1"/>
    <col min="34" max="34" width="14.875" style="157" customWidth="1"/>
    <col min="35" max="35" width="24.625" style="157" customWidth="1"/>
  </cols>
  <sheetData>
    <row r="1" spans="1:35" ht="21" customHeight="1" x14ac:dyDescent="0.2">
      <c r="A1" s="207" t="s">
        <v>0</v>
      </c>
      <c r="B1" s="209" t="s">
        <v>1</v>
      </c>
      <c r="C1" s="209" t="s">
        <v>2</v>
      </c>
      <c r="D1" s="209" t="s">
        <v>1</v>
      </c>
      <c r="E1" s="209" t="s">
        <v>3</v>
      </c>
      <c r="F1" s="209" t="s">
        <v>1</v>
      </c>
      <c r="G1" s="207" t="s">
        <v>4</v>
      </c>
      <c r="H1" s="209" t="s">
        <v>5</v>
      </c>
      <c r="I1" s="209" t="s">
        <v>6</v>
      </c>
      <c r="J1" s="210" t="s">
        <v>7</v>
      </c>
      <c r="K1" s="212" t="s">
        <v>6</v>
      </c>
      <c r="L1" s="213" t="s">
        <v>8</v>
      </c>
      <c r="M1" s="207" t="s">
        <v>9</v>
      </c>
      <c r="N1" s="207" t="s">
        <v>10</v>
      </c>
      <c r="O1" s="210" t="s">
        <v>11</v>
      </c>
      <c r="P1" s="208"/>
      <c r="Q1" s="208"/>
      <c r="R1" s="208"/>
      <c r="S1" s="208"/>
      <c r="T1" s="210" t="s">
        <v>12</v>
      </c>
      <c r="U1" s="208"/>
      <c r="V1" s="208"/>
      <c r="W1" s="208"/>
      <c r="X1" s="208"/>
      <c r="Y1" s="211" t="s">
        <v>13</v>
      </c>
      <c r="Z1" s="210" t="s">
        <v>14</v>
      </c>
      <c r="AA1" s="207" t="s">
        <v>15</v>
      </c>
      <c r="AB1" s="207" t="s">
        <v>16</v>
      </c>
      <c r="AC1" s="207" t="s">
        <v>17</v>
      </c>
      <c r="AD1" s="207" t="s">
        <v>18</v>
      </c>
      <c r="AE1" s="207" t="s">
        <v>19</v>
      </c>
      <c r="AF1" s="207" t="s">
        <v>20</v>
      </c>
      <c r="AG1" s="207" t="s">
        <v>21</v>
      </c>
      <c r="AH1" s="207" t="s">
        <v>22</v>
      </c>
      <c r="AI1" s="207" t="s">
        <v>23</v>
      </c>
    </row>
    <row r="2" spans="1:35" ht="36.75" customHeight="1" x14ac:dyDescent="0.2">
      <c r="A2" s="214"/>
      <c r="B2" s="208"/>
      <c r="C2" s="208"/>
      <c r="D2" s="208"/>
      <c r="E2" s="208"/>
      <c r="F2" s="208"/>
      <c r="G2" s="208"/>
      <c r="H2" s="208"/>
      <c r="I2" s="208"/>
      <c r="J2" s="208"/>
      <c r="K2" s="208"/>
      <c r="L2" s="214"/>
      <c r="M2" s="208"/>
      <c r="N2" s="208"/>
      <c r="O2" s="158">
        <v>2024</v>
      </c>
      <c r="P2" s="158">
        <v>2025</v>
      </c>
      <c r="Q2" s="158">
        <v>2026</v>
      </c>
      <c r="R2" s="158">
        <v>2027</v>
      </c>
      <c r="S2" s="159" t="s">
        <v>24</v>
      </c>
      <c r="T2" s="165">
        <v>2024</v>
      </c>
      <c r="U2" s="158">
        <v>2025</v>
      </c>
      <c r="V2" s="158">
        <v>2026</v>
      </c>
      <c r="W2" s="158">
        <v>2027</v>
      </c>
      <c r="X2" s="159" t="s">
        <v>24</v>
      </c>
      <c r="Y2" s="208"/>
      <c r="Z2" s="208"/>
      <c r="AA2" s="208"/>
      <c r="AB2" s="208"/>
      <c r="AC2" s="208"/>
      <c r="AD2" s="208"/>
      <c r="AE2" s="208"/>
      <c r="AF2" s="208"/>
      <c r="AG2" s="208"/>
      <c r="AH2" s="208"/>
      <c r="AI2" s="208"/>
    </row>
    <row r="3" spans="1:35" ht="121.15" customHeight="1" x14ac:dyDescent="0.2">
      <c r="A3" s="205" t="s">
        <v>25</v>
      </c>
      <c r="B3" s="204">
        <v>20</v>
      </c>
      <c r="C3" s="205" t="s">
        <v>26</v>
      </c>
      <c r="D3" s="204">
        <v>50</v>
      </c>
      <c r="E3" s="205" t="s">
        <v>27</v>
      </c>
      <c r="F3" s="204">
        <v>40</v>
      </c>
      <c r="G3" s="205" t="s">
        <v>28</v>
      </c>
      <c r="H3" s="206" t="s">
        <v>29</v>
      </c>
      <c r="I3" s="204">
        <v>100</v>
      </c>
      <c r="J3" s="141" t="s">
        <v>30</v>
      </c>
      <c r="K3" s="153">
        <v>30</v>
      </c>
      <c r="L3" s="141" t="str">
        <f>'MATRIZ DE ACCIONES OPERATIVAS'!H7</f>
        <v>Areas bajo esquemas de PSA e incentivos a la conservación</v>
      </c>
      <c r="M3" s="148" t="s">
        <v>32</v>
      </c>
      <c r="N3" s="153" t="s">
        <v>33</v>
      </c>
      <c r="O3" s="153">
        <v>0</v>
      </c>
      <c r="P3" s="153">
        <v>200</v>
      </c>
      <c r="Q3" s="153">
        <v>200</v>
      </c>
      <c r="R3" s="153">
        <v>100</v>
      </c>
      <c r="S3" s="154">
        <v>500</v>
      </c>
      <c r="T3" s="261">
        <f>'Anexo 2024'!BJ6</f>
        <v>0</v>
      </c>
      <c r="U3" s="261">
        <f>'Detallado del Gasto 2025-1'!DZ6</f>
        <v>1396322365.8933332</v>
      </c>
      <c r="V3" s="202">
        <v>1100000000</v>
      </c>
      <c r="W3" s="202">
        <v>3100000000</v>
      </c>
      <c r="X3" s="436">
        <f>SUM(U3:U5)+SUM(T3:T5)</f>
        <v>1948927313.4699998</v>
      </c>
      <c r="Y3" s="153" t="s">
        <v>34</v>
      </c>
      <c r="Z3" s="147" t="s">
        <v>35</v>
      </c>
      <c r="AA3" s="148" t="s">
        <v>28</v>
      </c>
      <c r="AB3" s="147" t="s">
        <v>34</v>
      </c>
      <c r="AC3" s="148" t="s">
        <v>36</v>
      </c>
      <c r="AD3" s="155" t="s">
        <v>37</v>
      </c>
      <c r="AE3" s="147" t="s">
        <v>38</v>
      </c>
      <c r="AF3" s="160"/>
      <c r="AG3" s="147" t="s">
        <v>39</v>
      </c>
      <c r="AH3" s="147" t="s">
        <v>40</v>
      </c>
      <c r="AI3" s="147" t="s">
        <v>41</v>
      </c>
    </row>
    <row r="4" spans="1:35" ht="108" customHeight="1" x14ac:dyDescent="0.2">
      <c r="A4" s="205"/>
      <c r="B4" s="204"/>
      <c r="C4" s="205"/>
      <c r="D4" s="204"/>
      <c r="E4" s="205"/>
      <c r="F4" s="204"/>
      <c r="G4" s="205"/>
      <c r="H4" s="206"/>
      <c r="I4" s="204"/>
      <c r="J4" s="141" t="s">
        <v>42</v>
      </c>
      <c r="K4" s="153">
        <v>30</v>
      </c>
      <c r="L4" s="141" t="str">
        <f>'MATRIZ DE ACCIONES OPERATIVAS'!H8</f>
        <v>Lineamientos estratégicos sostenibles formulados y con seguimiento y/o evaluación.</v>
      </c>
      <c r="M4" s="148" t="s">
        <v>32</v>
      </c>
      <c r="N4" s="153" t="s">
        <v>43</v>
      </c>
      <c r="O4" s="153">
        <v>1</v>
      </c>
      <c r="P4" s="153">
        <v>1</v>
      </c>
      <c r="Q4" s="153">
        <v>1</v>
      </c>
      <c r="R4" s="153">
        <v>1</v>
      </c>
      <c r="S4" s="154">
        <v>4</v>
      </c>
      <c r="T4" s="261">
        <f>'Anexo 2024'!BJ7</f>
        <v>233915463.45500001</v>
      </c>
      <c r="U4" s="261">
        <f>'Detallado del Gasto 2025-1'!DZ7</f>
        <v>42387010.333333336</v>
      </c>
      <c r="V4" s="202">
        <v>1100000000</v>
      </c>
      <c r="W4" s="202">
        <v>3100000000</v>
      </c>
      <c r="X4" s="182"/>
      <c r="Y4" s="153" t="s">
        <v>51</v>
      </c>
      <c r="Z4" s="147" t="s">
        <v>44</v>
      </c>
      <c r="AA4" s="148" t="s">
        <v>28</v>
      </c>
      <c r="AB4" s="147" t="s">
        <v>45</v>
      </c>
      <c r="AC4" s="148" t="s">
        <v>36</v>
      </c>
      <c r="AD4" s="155" t="s">
        <v>37</v>
      </c>
      <c r="AE4" s="147" t="s">
        <v>1573</v>
      </c>
      <c r="AF4" s="160"/>
      <c r="AG4" s="147" t="s">
        <v>39</v>
      </c>
      <c r="AH4" s="147" t="s">
        <v>40</v>
      </c>
      <c r="AI4" s="148" t="s">
        <v>1575</v>
      </c>
    </row>
    <row r="5" spans="1:35" ht="73.900000000000006" customHeight="1" x14ac:dyDescent="0.2">
      <c r="A5" s="205"/>
      <c r="B5" s="204"/>
      <c r="C5" s="205"/>
      <c r="D5" s="204"/>
      <c r="E5" s="205"/>
      <c r="F5" s="204"/>
      <c r="G5" s="205"/>
      <c r="H5" s="206"/>
      <c r="I5" s="204"/>
      <c r="J5" s="141" t="s">
        <v>48</v>
      </c>
      <c r="K5" s="153">
        <v>40</v>
      </c>
      <c r="L5" s="141" t="str">
        <f>'MATRIZ DE ACCIONES OPERATIVAS'!H9</f>
        <v>Negocios verdes apoyados</v>
      </c>
      <c r="M5" s="148" t="s">
        <v>50</v>
      </c>
      <c r="N5" s="153" t="s">
        <v>43</v>
      </c>
      <c r="O5" s="153">
        <v>40</v>
      </c>
      <c r="P5" s="153">
        <v>70</v>
      </c>
      <c r="Q5" s="153">
        <v>70</v>
      </c>
      <c r="R5" s="153">
        <v>70</v>
      </c>
      <c r="S5" s="154">
        <v>250</v>
      </c>
      <c r="T5" s="261">
        <f>'Anexo 2024'!BJ8</f>
        <v>233915463.45500001</v>
      </c>
      <c r="U5" s="261">
        <f>'Detallado del Gasto 2025-1'!DZ8</f>
        <v>42387010.333333336</v>
      </c>
      <c r="V5" s="202">
        <v>1100000000</v>
      </c>
      <c r="W5" s="202">
        <v>3100000000</v>
      </c>
      <c r="X5" s="182"/>
      <c r="Y5" s="153" t="s">
        <v>34</v>
      </c>
      <c r="Z5" s="147" t="s">
        <v>52</v>
      </c>
      <c r="AA5" s="148" t="s">
        <v>28</v>
      </c>
      <c r="AB5" s="147" t="s">
        <v>53</v>
      </c>
      <c r="AC5" s="148" t="s">
        <v>36</v>
      </c>
      <c r="AD5" s="155" t="s">
        <v>37</v>
      </c>
      <c r="AE5" s="147" t="s">
        <v>1573</v>
      </c>
      <c r="AF5" s="160"/>
      <c r="AG5" s="147" t="s">
        <v>39</v>
      </c>
      <c r="AH5" s="147" t="s">
        <v>40</v>
      </c>
      <c r="AI5" s="149" t="s">
        <v>1575</v>
      </c>
    </row>
    <row r="6" spans="1:35" ht="108" customHeight="1" x14ac:dyDescent="0.2">
      <c r="A6" s="205"/>
      <c r="B6" s="204"/>
      <c r="C6" s="205"/>
      <c r="D6" s="204"/>
      <c r="E6" s="205" t="s">
        <v>54</v>
      </c>
      <c r="F6" s="204">
        <v>60</v>
      </c>
      <c r="G6" s="205" t="s">
        <v>28</v>
      </c>
      <c r="H6" s="206" t="s">
        <v>55</v>
      </c>
      <c r="I6" s="204">
        <v>100</v>
      </c>
      <c r="J6" s="141" t="s">
        <v>1875</v>
      </c>
      <c r="K6" s="153">
        <v>30</v>
      </c>
      <c r="L6" s="141" t="str">
        <f>'MATRIZ DE ACCIONES OPERATIVAS'!H10</f>
        <v>Acciones coordinadas</v>
      </c>
      <c r="M6" s="148" t="s">
        <v>57</v>
      </c>
      <c r="N6" s="153" t="s">
        <v>43</v>
      </c>
      <c r="O6" s="153">
        <v>0</v>
      </c>
      <c r="P6" s="153">
        <v>1</v>
      </c>
      <c r="Q6" s="153">
        <v>0</v>
      </c>
      <c r="R6" s="153">
        <v>0</v>
      </c>
      <c r="S6" s="154">
        <v>1</v>
      </c>
      <c r="T6" s="264">
        <f>'Anexo 2024'!BJ10</f>
        <v>0</v>
      </c>
      <c r="U6" s="262">
        <f>'Detallado del Gasto 2025-1'!DZ10</f>
        <v>80950615.859999999</v>
      </c>
      <c r="V6" s="181">
        <v>800000000</v>
      </c>
      <c r="W6" s="181">
        <v>900000000</v>
      </c>
      <c r="X6" s="182">
        <f>SUM(U6:U8)+SUM(T6:T8)</f>
        <v>598616336.89999998</v>
      </c>
      <c r="Y6" s="153" t="s">
        <v>34</v>
      </c>
      <c r="Z6" s="147" t="s">
        <v>58</v>
      </c>
      <c r="AA6" s="148" t="s">
        <v>28</v>
      </c>
      <c r="AB6" s="147" t="s">
        <v>34</v>
      </c>
      <c r="AC6" s="148" t="s">
        <v>36</v>
      </c>
      <c r="AD6" s="155" t="s">
        <v>37</v>
      </c>
      <c r="AE6" s="147" t="s">
        <v>1573</v>
      </c>
      <c r="AF6" s="155"/>
      <c r="AG6" s="149" t="s">
        <v>39</v>
      </c>
      <c r="AH6" s="150" t="s">
        <v>46</v>
      </c>
      <c r="AI6" s="150" t="s">
        <v>47</v>
      </c>
    </row>
    <row r="7" spans="1:35" ht="108" customHeight="1" x14ac:dyDescent="0.2">
      <c r="A7" s="205"/>
      <c r="B7" s="204"/>
      <c r="C7" s="205"/>
      <c r="D7" s="204"/>
      <c r="E7" s="205"/>
      <c r="F7" s="204"/>
      <c r="G7" s="205"/>
      <c r="H7" s="206"/>
      <c r="I7" s="204"/>
      <c r="J7" s="152" t="s">
        <v>60</v>
      </c>
      <c r="K7" s="153">
        <v>30</v>
      </c>
      <c r="L7" s="141" t="str">
        <f>'MATRIZ DE ACCIONES OPERATIVAS'!H11</f>
        <v>Asistencia tecnica realizada</v>
      </c>
      <c r="M7" s="148" t="s">
        <v>57</v>
      </c>
      <c r="N7" s="153" t="s">
        <v>110</v>
      </c>
      <c r="O7" s="153">
        <v>100</v>
      </c>
      <c r="P7" s="153">
        <v>100</v>
      </c>
      <c r="Q7" s="153">
        <v>100</v>
      </c>
      <c r="R7" s="153">
        <v>100</v>
      </c>
      <c r="S7" s="154">
        <v>100</v>
      </c>
      <c r="T7" s="264">
        <f>'Anexo 2024'!BJ11</f>
        <v>355764489.31999999</v>
      </c>
      <c r="U7" s="262">
        <f>'Detallado del Gasto 2025-1'!DZ11</f>
        <v>80950615.859999999</v>
      </c>
      <c r="V7" s="181"/>
      <c r="W7" s="181"/>
      <c r="X7" s="182"/>
      <c r="Y7" s="153" t="s">
        <v>34</v>
      </c>
      <c r="Z7" s="147" t="s">
        <v>62</v>
      </c>
      <c r="AA7" s="148" t="s">
        <v>28</v>
      </c>
      <c r="AB7" s="147" t="s">
        <v>53</v>
      </c>
      <c r="AC7" s="148" t="s">
        <v>36</v>
      </c>
      <c r="AD7" s="155" t="s">
        <v>37</v>
      </c>
      <c r="AE7" s="147" t="s">
        <v>1573</v>
      </c>
      <c r="AF7" s="155"/>
      <c r="AG7" s="149" t="s">
        <v>39</v>
      </c>
      <c r="AH7" s="150" t="s">
        <v>46</v>
      </c>
      <c r="AI7" s="150" t="s">
        <v>47</v>
      </c>
    </row>
    <row r="8" spans="1:35" ht="120.75" customHeight="1" x14ac:dyDescent="0.2">
      <c r="A8" s="205"/>
      <c r="B8" s="204"/>
      <c r="C8" s="205"/>
      <c r="D8" s="204"/>
      <c r="E8" s="205"/>
      <c r="F8" s="204"/>
      <c r="G8" s="205"/>
      <c r="H8" s="206"/>
      <c r="I8" s="204"/>
      <c r="J8" s="152" t="s">
        <v>1880</v>
      </c>
      <c r="K8" s="153">
        <v>40</v>
      </c>
      <c r="L8" s="141" t="str">
        <f>'MATRIZ DE ACCIONES OPERATIVAS'!H12</f>
        <v>Porcentaje de avance en la implementación del programa integral de economía circular y negocios verdes en el marco de los conocimientos y prácticas tradicionales de las comunidades negras, afrocolombianas, raizales y palenqueras que promueva acciones de educación ambiental (negocios consolidados)</v>
      </c>
      <c r="M8" s="148" t="s">
        <v>61</v>
      </c>
      <c r="N8" s="153" t="s">
        <v>110</v>
      </c>
      <c r="O8" s="153">
        <v>0</v>
      </c>
      <c r="P8" s="153">
        <v>100</v>
      </c>
      <c r="Q8" s="153">
        <v>100</v>
      </c>
      <c r="R8" s="153">
        <v>100</v>
      </c>
      <c r="S8" s="154">
        <v>100</v>
      </c>
      <c r="T8" s="264">
        <f>'Anexo 2024'!BJ12</f>
        <v>0</v>
      </c>
      <c r="U8" s="262">
        <f>'Detallado del Gasto 2025-1'!DZ12</f>
        <v>80950615.859999999</v>
      </c>
      <c r="V8" s="181">
        <v>800000000</v>
      </c>
      <c r="W8" s="181">
        <v>900000000</v>
      </c>
      <c r="X8" s="182"/>
      <c r="Y8" s="153" t="s">
        <v>34</v>
      </c>
      <c r="Z8" s="147" t="s">
        <v>62</v>
      </c>
      <c r="AA8" s="148" t="s">
        <v>28</v>
      </c>
      <c r="AB8" s="147" t="s">
        <v>53</v>
      </c>
      <c r="AC8" s="148" t="s">
        <v>36</v>
      </c>
      <c r="AD8" s="155" t="s">
        <v>37</v>
      </c>
      <c r="AE8" s="147" t="s">
        <v>1573</v>
      </c>
      <c r="AF8" s="155"/>
      <c r="AG8" s="147" t="s">
        <v>39</v>
      </c>
      <c r="AH8" s="150" t="s">
        <v>46</v>
      </c>
      <c r="AI8" s="150" t="s">
        <v>47</v>
      </c>
    </row>
    <row r="9" spans="1:35" ht="175.9" customHeight="1" x14ac:dyDescent="0.2">
      <c r="A9" s="205"/>
      <c r="B9" s="204"/>
      <c r="C9" s="205" t="s">
        <v>63</v>
      </c>
      <c r="D9" s="204">
        <v>50</v>
      </c>
      <c r="E9" s="205" t="s">
        <v>64</v>
      </c>
      <c r="F9" s="204">
        <v>30</v>
      </c>
      <c r="G9" s="205" t="s">
        <v>65</v>
      </c>
      <c r="H9" s="205" t="s">
        <v>66</v>
      </c>
      <c r="I9" s="204">
        <v>100</v>
      </c>
      <c r="J9" s="152" t="s">
        <v>67</v>
      </c>
      <c r="K9" s="153">
        <v>30</v>
      </c>
      <c r="L9" s="152" t="s">
        <v>68</v>
      </c>
      <c r="M9" s="148" t="s">
        <v>57</v>
      </c>
      <c r="N9" s="153" t="s">
        <v>43</v>
      </c>
      <c r="O9" s="153">
        <v>0</v>
      </c>
      <c r="P9" s="153">
        <v>1</v>
      </c>
      <c r="Q9" s="153">
        <v>1</v>
      </c>
      <c r="R9" s="153">
        <v>1</v>
      </c>
      <c r="S9" s="154">
        <v>3</v>
      </c>
      <c r="T9" s="264">
        <f>'Anexo 2024'!BJ15</f>
        <v>0</v>
      </c>
      <c r="U9" s="262">
        <f>'Detallado del Gasto 2025-1'!DZ15</f>
        <v>73180553.409999996</v>
      </c>
      <c r="V9" s="181">
        <v>300000000</v>
      </c>
      <c r="W9" s="181">
        <v>300000000</v>
      </c>
      <c r="X9" s="182">
        <f>SUM(U9:U10)+SUM(T9:T10)</f>
        <v>146361106.81999999</v>
      </c>
      <c r="Y9" s="153" t="s">
        <v>1937</v>
      </c>
      <c r="Z9" s="147" t="s">
        <v>69</v>
      </c>
      <c r="AA9" s="148" t="s">
        <v>65</v>
      </c>
      <c r="AB9" s="147" t="s">
        <v>70</v>
      </c>
      <c r="AC9" s="148" t="s">
        <v>1601</v>
      </c>
      <c r="AD9" s="155" t="s">
        <v>37</v>
      </c>
      <c r="AE9" s="147" t="s">
        <v>1621</v>
      </c>
      <c r="AF9" s="155"/>
      <c r="AG9" s="147" t="s">
        <v>71</v>
      </c>
      <c r="AH9" s="150" t="s">
        <v>46</v>
      </c>
      <c r="AI9" s="150" t="s">
        <v>47</v>
      </c>
    </row>
    <row r="10" spans="1:35" ht="82.9" customHeight="1" x14ac:dyDescent="0.2">
      <c r="A10" s="205"/>
      <c r="B10" s="204"/>
      <c r="C10" s="205"/>
      <c r="D10" s="204"/>
      <c r="E10" s="205"/>
      <c r="F10" s="204"/>
      <c r="G10" s="205"/>
      <c r="H10" s="205"/>
      <c r="I10" s="204"/>
      <c r="J10" s="152" t="s">
        <v>72</v>
      </c>
      <c r="K10" s="153">
        <v>70</v>
      </c>
      <c r="L10" s="152" t="s">
        <v>73</v>
      </c>
      <c r="M10" s="148" t="s">
        <v>74</v>
      </c>
      <c r="N10" s="153" t="s">
        <v>43</v>
      </c>
      <c r="O10" s="153">
        <v>0</v>
      </c>
      <c r="P10" s="153">
        <v>1</v>
      </c>
      <c r="Q10" s="153">
        <v>0</v>
      </c>
      <c r="R10" s="153">
        <v>0</v>
      </c>
      <c r="S10" s="154">
        <v>1</v>
      </c>
      <c r="T10" s="264">
        <f>'Anexo 2024'!BJ16</f>
        <v>0</v>
      </c>
      <c r="U10" s="262">
        <f>'Detallado del Gasto 2025-1'!DZ16</f>
        <v>73180553.409999996</v>
      </c>
      <c r="V10" s="181">
        <v>300000000</v>
      </c>
      <c r="W10" s="181">
        <v>300000000</v>
      </c>
      <c r="X10" s="182"/>
      <c r="Y10" s="153" t="s">
        <v>34</v>
      </c>
      <c r="Z10" s="147" t="s">
        <v>75</v>
      </c>
      <c r="AA10" s="148" t="s">
        <v>65</v>
      </c>
      <c r="AB10" s="147" t="s">
        <v>76</v>
      </c>
      <c r="AC10" s="148" t="s">
        <v>1601</v>
      </c>
      <c r="AD10" s="155" t="s">
        <v>37</v>
      </c>
      <c r="AE10" s="147" t="s">
        <v>38</v>
      </c>
      <c r="AF10" s="155"/>
      <c r="AG10" s="147" t="s">
        <v>71</v>
      </c>
      <c r="AH10" s="150" t="s">
        <v>46</v>
      </c>
      <c r="AI10" s="150" t="s">
        <v>1593</v>
      </c>
    </row>
    <row r="11" spans="1:35" ht="82.9" customHeight="1" x14ac:dyDescent="0.2">
      <c r="A11" s="205"/>
      <c r="B11" s="204"/>
      <c r="C11" s="205"/>
      <c r="D11" s="204"/>
      <c r="E11" s="205" t="s">
        <v>77</v>
      </c>
      <c r="F11" s="204">
        <v>70</v>
      </c>
      <c r="G11" s="205" t="s">
        <v>65</v>
      </c>
      <c r="H11" s="205" t="s">
        <v>78</v>
      </c>
      <c r="I11" s="204">
        <v>100</v>
      </c>
      <c r="J11" s="152" t="s">
        <v>79</v>
      </c>
      <c r="K11" s="153">
        <v>20</v>
      </c>
      <c r="L11" s="152" t="s">
        <v>80</v>
      </c>
      <c r="M11" s="148" t="s">
        <v>1703</v>
      </c>
      <c r="N11" s="153" t="s">
        <v>43</v>
      </c>
      <c r="O11" s="153">
        <v>0</v>
      </c>
      <c r="P11" s="153">
        <v>1</v>
      </c>
      <c r="Q11" s="153">
        <v>1</v>
      </c>
      <c r="R11" s="153">
        <v>1</v>
      </c>
      <c r="S11" s="154">
        <v>3</v>
      </c>
      <c r="T11" s="264">
        <f>'Anexo 2024'!BJ18</f>
        <v>0</v>
      </c>
      <c r="U11" s="262">
        <f>'Detallado del Gasto 2025-1'!DZ18</f>
        <v>358130570.47499996</v>
      </c>
      <c r="V11" s="181">
        <v>3300000000</v>
      </c>
      <c r="W11" s="181">
        <v>2300000000</v>
      </c>
      <c r="X11" s="182">
        <f>SUM(U11:U14)+SUM(T11:T14)</f>
        <v>3229573221.2199998</v>
      </c>
      <c r="Y11" s="153" t="s">
        <v>34</v>
      </c>
      <c r="Z11" s="147" t="s">
        <v>82</v>
      </c>
      <c r="AA11" s="148" t="s">
        <v>65</v>
      </c>
      <c r="AB11" s="147" t="s">
        <v>76</v>
      </c>
      <c r="AC11" s="148" t="s">
        <v>1601</v>
      </c>
      <c r="AD11" s="155" t="s">
        <v>37</v>
      </c>
      <c r="AE11" s="147" t="s">
        <v>1573</v>
      </c>
      <c r="AF11" s="155"/>
      <c r="AG11" s="147" t="s">
        <v>39</v>
      </c>
      <c r="AH11" s="150" t="s">
        <v>1607</v>
      </c>
      <c r="AI11" s="150" t="s">
        <v>1593</v>
      </c>
    </row>
    <row r="12" spans="1:35" ht="82.9" customHeight="1" x14ac:dyDescent="0.2">
      <c r="A12" s="205"/>
      <c r="B12" s="204"/>
      <c r="C12" s="205"/>
      <c r="D12" s="204"/>
      <c r="E12" s="205"/>
      <c r="F12" s="204"/>
      <c r="G12" s="205"/>
      <c r="H12" s="205"/>
      <c r="I12" s="204"/>
      <c r="J12" s="152" t="s">
        <v>84</v>
      </c>
      <c r="K12" s="153">
        <v>30</v>
      </c>
      <c r="L12" s="152" t="s">
        <v>85</v>
      </c>
      <c r="M12" s="148" t="s">
        <v>57</v>
      </c>
      <c r="N12" s="153" t="s">
        <v>43</v>
      </c>
      <c r="O12" s="153">
        <v>0</v>
      </c>
      <c r="P12" s="153">
        <v>400</v>
      </c>
      <c r="Q12" s="153">
        <v>100</v>
      </c>
      <c r="R12" s="153">
        <v>100</v>
      </c>
      <c r="S12" s="154">
        <v>600</v>
      </c>
      <c r="T12" s="264">
        <f>'Anexo 2024'!BJ19</f>
        <v>0</v>
      </c>
      <c r="U12" s="262">
        <f>'Detallado del Gasto 2025-1'!DZ19</f>
        <v>41163122.274999999</v>
      </c>
      <c r="V12" s="181">
        <v>3300000000</v>
      </c>
      <c r="W12" s="181">
        <v>2300000000</v>
      </c>
      <c r="X12" s="182"/>
      <c r="Y12" s="153" t="s">
        <v>51</v>
      </c>
      <c r="Z12" s="147" t="s">
        <v>86</v>
      </c>
      <c r="AA12" s="148" t="s">
        <v>65</v>
      </c>
      <c r="AB12" s="147" t="s">
        <v>76</v>
      </c>
      <c r="AC12" s="148" t="s">
        <v>1601</v>
      </c>
      <c r="AD12" s="155" t="s">
        <v>37</v>
      </c>
      <c r="AE12" s="147" t="s">
        <v>1573</v>
      </c>
      <c r="AF12" s="155"/>
      <c r="AG12" s="147" t="s">
        <v>39</v>
      </c>
      <c r="AH12" s="150" t="s">
        <v>1622</v>
      </c>
      <c r="AI12" s="150" t="s">
        <v>1593</v>
      </c>
    </row>
    <row r="13" spans="1:35" ht="82.9" customHeight="1" x14ac:dyDescent="0.2">
      <c r="A13" s="205"/>
      <c r="B13" s="204"/>
      <c r="C13" s="205"/>
      <c r="D13" s="204"/>
      <c r="E13" s="205"/>
      <c r="F13" s="204"/>
      <c r="G13" s="205"/>
      <c r="H13" s="205"/>
      <c r="I13" s="204"/>
      <c r="J13" s="152" t="s">
        <v>1876</v>
      </c>
      <c r="K13" s="153">
        <v>30</v>
      </c>
      <c r="L13" s="152" t="s">
        <v>1878</v>
      </c>
      <c r="M13" s="148" t="s">
        <v>1877</v>
      </c>
      <c r="N13" s="153" t="s">
        <v>43</v>
      </c>
      <c r="O13" s="153">
        <v>0</v>
      </c>
      <c r="P13" s="153">
        <v>0</v>
      </c>
      <c r="Q13" s="153">
        <v>1</v>
      </c>
      <c r="R13" s="153">
        <v>0</v>
      </c>
      <c r="S13" s="154">
        <v>1</v>
      </c>
      <c r="T13" s="264">
        <f>'Anexo 2024'!BJ20</f>
        <v>2665777526.9200001</v>
      </c>
      <c r="U13" s="262">
        <f>'Detallado del Gasto 2025-1'!DZ20</f>
        <v>41163122.274999999</v>
      </c>
      <c r="V13" s="181"/>
      <c r="W13" s="181"/>
      <c r="X13" s="182"/>
      <c r="Y13" s="153" t="s">
        <v>34</v>
      </c>
      <c r="Z13" s="147" t="s">
        <v>979</v>
      </c>
      <c r="AA13" s="148" t="s">
        <v>65</v>
      </c>
      <c r="AB13" s="147" t="s">
        <v>76</v>
      </c>
      <c r="AC13" s="148" t="s">
        <v>1601</v>
      </c>
      <c r="AD13" s="155" t="s">
        <v>37</v>
      </c>
      <c r="AE13" s="147" t="s">
        <v>1573</v>
      </c>
      <c r="AF13" s="155"/>
      <c r="AG13" s="147" t="s">
        <v>39</v>
      </c>
      <c r="AH13" s="150" t="s">
        <v>1607</v>
      </c>
      <c r="AI13" s="150" t="s">
        <v>1593</v>
      </c>
    </row>
    <row r="14" spans="1:35" ht="114" x14ac:dyDescent="0.2">
      <c r="A14" s="205"/>
      <c r="B14" s="204"/>
      <c r="C14" s="205"/>
      <c r="D14" s="204"/>
      <c r="E14" s="205"/>
      <c r="F14" s="204"/>
      <c r="G14" s="205"/>
      <c r="H14" s="205"/>
      <c r="I14" s="204"/>
      <c r="J14" s="152" t="s">
        <v>1879</v>
      </c>
      <c r="K14" s="153">
        <v>20</v>
      </c>
      <c r="L14" s="152" t="s">
        <v>88</v>
      </c>
      <c r="M14" s="148" t="s">
        <v>89</v>
      </c>
      <c r="N14" s="153" t="s">
        <v>43</v>
      </c>
      <c r="O14" s="153">
        <v>1</v>
      </c>
      <c r="P14" s="153">
        <v>1</v>
      </c>
      <c r="Q14" s="153">
        <v>1</v>
      </c>
      <c r="R14" s="153">
        <v>1</v>
      </c>
      <c r="S14" s="154">
        <v>4</v>
      </c>
      <c r="T14" s="264">
        <f>'Anexo 2024'!BJ21</f>
        <v>82175757</v>
      </c>
      <c r="U14" s="262">
        <f>'Detallado del Gasto 2025-1'!DZ21</f>
        <v>41163122.274999999</v>
      </c>
      <c r="V14" s="181">
        <v>3300000000</v>
      </c>
      <c r="W14" s="181">
        <v>2300000000</v>
      </c>
      <c r="X14" s="182"/>
      <c r="Y14" s="153" t="s">
        <v>51</v>
      </c>
      <c r="Z14" s="147" t="s">
        <v>90</v>
      </c>
      <c r="AA14" s="148" t="s">
        <v>65</v>
      </c>
      <c r="AB14" s="147" t="s">
        <v>76</v>
      </c>
      <c r="AC14" s="148" t="s">
        <v>1601</v>
      </c>
      <c r="AD14" s="155" t="s">
        <v>37</v>
      </c>
      <c r="AE14" s="147" t="s">
        <v>1573</v>
      </c>
      <c r="AF14" s="155"/>
      <c r="AG14" s="147" t="s">
        <v>39</v>
      </c>
      <c r="AH14" s="150" t="s">
        <v>1622</v>
      </c>
      <c r="AI14" s="150" t="s">
        <v>1593</v>
      </c>
    </row>
    <row r="15" spans="1:35" ht="124.15" customHeight="1" x14ac:dyDescent="0.2">
      <c r="A15" s="205" t="s">
        <v>91</v>
      </c>
      <c r="B15" s="204">
        <v>30</v>
      </c>
      <c r="C15" s="205" t="s">
        <v>92</v>
      </c>
      <c r="D15" s="204">
        <v>50</v>
      </c>
      <c r="E15" s="205" t="s">
        <v>93</v>
      </c>
      <c r="F15" s="204">
        <v>60</v>
      </c>
      <c r="G15" s="205" t="s">
        <v>83</v>
      </c>
      <c r="H15" s="205" t="s">
        <v>94</v>
      </c>
      <c r="I15" s="204">
        <v>100</v>
      </c>
      <c r="J15" s="152" t="s">
        <v>1898</v>
      </c>
      <c r="K15" s="153">
        <v>7</v>
      </c>
      <c r="L15" s="152" t="s">
        <v>1934</v>
      </c>
      <c r="M15" s="148" t="s">
        <v>1685</v>
      </c>
      <c r="N15" s="153" t="s">
        <v>110</v>
      </c>
      <c r="O15" s="153">
        <v>0</v>
      </c>
      <c r="P15" s="153">
        <v>25</v>
      </c>
      <c r="Q15" s="153">
        <v>50</v>
      </c>
      <c r="R15" s="153">
        <v>25</v>
      </c>
      <c r="S15" s="154">
        <v>100</v>
      </c>
      <c r="T15" s="264">
        <v>0</v>
      </c>
      <c r="U15" s="262">
        <f>'Detallado del Gasto 2025-1'!DZ25</f>
        <v>876024531.31076932</v>
      </c>
      <c r="V15" s="181">
        <v>3917890787</v>
      </c>
      <c r="W15" s="181">
        <v>3130000000</v>
      </c>
      <c r="X15" s="182">
        <f>SUM(T15:T28)+SUM(U15:U28)</f>
        <v>14408284401.120003</v>
      </c>
      <c r="Y15" s="153" t="s">
        <v>34</v>
      </c>
      <c r="Z15" s="147" t="s">
        <v>95</v>
      </c>
      <c r="AA15" s="148" t="s">
        <v>83</v>
      </c>
      <c r="AB15" s="149" t="s">
        <v>96</v>
      </c>
      <c r="AC15" s="148" t="s">
        <v>1631</v>
      </c>
      <c r="AD15" s="155" t="s">
        <v>37</v>
      </c>
      <c r="AE15" s="147" t="s">
        <v>38</v>
      </c>
      <c r="AF15" s="155"/>
      <c r="AG15" s="147" t="s">
        <v>39</v>
      </c>
      <c r="AH15" s="150" t="s">
        <v>1574</v>
      </c>
      <c r="AI15" s="150" t="s">
        <v>1581</v>
      </c>
    </row>
    <row r="16" spans="1:35" ht="43.9" customHeight="1" x14ac:dyDescent="0.2">
      <c r="A16" s="205"/>
      <c r="B16" s="204"/>
      <c r="C16" s="205"/>
      <c r="D16" s="204"/>
      <c r="E16" s="205"/>
      <c r="F16" s="204"/>
      <c r="G16" s="205"/>
      <c r="H16" s="205"/>
      <c r="I16" s="204"/>
      <c r="J16" s="152" t="s">
        <v>1899</v>
      </c>
      <c r="K16" s="153">
        <v>7</v>
      </c>
      <c r="L16" s="152" t="s">
        <v>1916</v>
      </c>
      <c r="M16" s="148" t="s">
        <v>1780</v>
      </c>
      <c r="N16" s="153" t="s">
        <v>43</v>
      </c>
      <c r="O16" s="153">
        <v>1</v>
      </c>
      <c r="P16" s="153">
        <v>2</v>
      </c>
      <c r="Q16" s="153">
        <v>2</v>
      </c>
      <c r="R16" s="153">
        <v>2</v>
      </c>
      <c r="S16" s="154">
        <v>7</v>
      </c>
      <c r="T16" s="264">
        <v>11356195660.538889</v>
      </c>
      <c r="U16" s="262">
        <f>'Detallado del Gasto 2025-1'!DZ26</f>
        <v>111757081.74076924</v>
      </c>
      <c r="V16" s="181">
        <v>3917890787</v>
      </c>
      <c r="W16" s="181">
        <v>3130000000</v>
      </c>
      <c r="X16" s="182"/>
      <c r="Y16" s="153" t="s">
        <v>51</v>
      </c>
      <c r="Z16" s="147" t="s">
        <v>95</v>
      </c>
      <c r="AA16" s="153" t="s">
        <v>83</v>
      </c>
      <c r="AB16" s="156" t="s">
        <v>1589</v>
      </c>
      <c r="AC16" s="148" t="s">
        <v>1631</v>
      </c>
      <c r="AD16" s="155" t="s">
        <v>37</v>
      </c>
      <c r="AE16" s="147" t="s">
        <v>1638</v>
      </c>
      <c r="AF16" s="155"/>
      <c r="AG16" s="149" t="s">
        <v>71</v>
      </c>
      <c r="AH16" s="150" t="s">
        <v>1574</v>
      </c>
      <c r="AI16" s="150" t="s">
        <v>1567</v>
      </c>
    </row>
    <row r="17" spans="1:92" ht="85.5" x14ac:dyDescent="0.2">
      <c r="A17" s="205"/>
      <c r="B17" s="204"/>
      <c r="C17" s="205"/>
      <c r="D17" s="204"/>
      <c r="E17" s="205"/>
      <c r="F17" s="204"/>
      <c r="G17" s="205"/>
      <c r="H17" s="205"/>
      <c r="I17" s="204"/>
      <c r="J17" s="152" t="s">
        <v>1900</v>
      </c>
      <c r="K17" s="153">
        <v>7</v>
      </c>
      <c r="L17" s="152" t="s">
        <v>1917</v>
      </c>
      <c r="M17" s="148" t="s">
        <v>97</v>
      </c>
      <c r="N17" s="153" t="s">
        <v>43</v>
      </c>
      <c r="O17" s="153">
        <v>1</v>
      </c>
      <c r="P17" s="153">
        <v>1</v>
      </c>
      <c r="Q17" s="153">
        <v>1</v>
      </c>
      <c r="R17" s="153">
        <v>1</v>
      </c>
      <c r="S17" s="154">
        <v>4</v>
      </c>
      <c r="T17" s="264">
        <v>247576948.28444439</v>
      </c>
      <c r="U17" s="262">
        <f>'Detallado del Gasto 2025-1'!DZ27</f>
        <v>30115317.230769232</v>
      </c>
      <c r="V17" s="181">
        <v>3917890787</v>
      </c>
      <c r="W17" s="181">
        <v>3130000000</v>
      </c>
      <c r="X17" s="182"/>
      <c r="Y17" s="153" t="s">
        <v>51</v>
      </c>
      <c r="Z17" s="155" t="s">
        <v>95</v>
      </c>
      <c r="AA17" s="153" t="s">
        <v>83</v>
      </c>
      <c r="AB17" s="156" t="s">
        <v>34</v>
      </c>
      <c r="AC17" s="148" t="s">
        <v>1631</v>
      </c>
      <c r="AD17" s="155" t="s">
        <v>37</v>
      </c>
      <c r="AE17" s="147" t="s">
        <v>1638</v>
      </c>
      <c r="AF17" s="155"/>
      <c r="AG17" s="149" t="s">
        <v>71</v>
      </c>
      <c r="AH17" s="150" t="s">
        <v>1574</v>
      </c>
      <c r="AI17" s="150" t="s">
        <v>1567</v>
      </c>
    </row>
    <row r="18" spans="1:92" ht="52.9" customHeight="1" x14ac:dyDescent="0.2">
      <c r="A18" s="205"/>
      <c r="B18" s="204"/>
      <c r="C18" s="205"/>
      <c r="D18" s="204"/>
      <c r="E18" s="205"/>
      <c r="F18" s="204"/>
      <c r="G18" s="205"/>
      <c r="H18" s="205"/>
      <c r="I18" s="204"/>
      <c r="J18" s="152" t="s">
        <v>1901</v>
      </c>
      <c r="K18" s="153">
        <v>7</v>
      </c>
      <c r="L18" s="152" t="s">
        <v>2125</v>
      </c>
      <c r="M18" s="148" t="s">
        <v>1783</v>
      </c>
      <c r="N18" s="153" t="s">
        <v>110</v>
      </c>
      <c r="O18" s="153">
        <v>0</v>
      </c>
      <c r="P18" s="153">
        <v>50</v>
      </c>
      <c r="Q18" s="153">
        <v>100</v>
      </c>
      <c r="R18" s="153">
        <v>50</v>
      </c>
      <c r="S18" s="154">
        <v>100</v>
      </c>
      <c r="T18" s="264">
        <v>0</v>
      </c>
      <c r="U18" s="262">
        <f>'Detallado del Gasto 2025-1'!DZ28</f>
        <v>30115317.230769232</v>
      </c>
      <c r="V18" s="181">
        <v>3917890787</v>
      </c>
      <c r="W18" s="181">
        <v>3130000000</v>
      </c>
      <c r="X18" s="182"/>
      <c r="Y18" s="153" t="s">
        <v>51</v>
      </c>
      <c r="Z18" s="155" t="s">
        <v>98</v>
      </c>
      <c r="AA18" s="153" t="s">
        <v>83</v>
      </c>
      <c r="AB18" s="156" t="s">
        <v>1609</v>
      </c>
      <c r="AC18" s="148" t="s">
        <v>1631</v>
      </c>
      <c r="AD18" s="155" t="s">
        <v>37</v>
      </c>
      <c r="AE18" s="147" t="s">
        <v>1638</v>
      </c>
      <c r="AF18" s="155"/>
      <c r="AG18" s="149" t="s">
        <v>71</v>
      </c>
      <c r="AH18" s="150" t="s">
        <v>1574</v>
      </c>
      <c r="AI18" s="150" t="s">
        <v>1567</v>
      </c>
    </row>
    <row r="19" spans="1:92" ht="108" customHeight="1" x14ac:dyDescent="0.2">
      <c r="A19" s="205"/>
      <c r="B19" s="204"/>
      <c r="C19" s="205"/>
      <c r="D19" s="204"/>
      <c r="E19" s="205"/>
      <c r="F19" s="204"/>
      <c r="G19" s="205"/>
      <c r="H19" s="205"/>
      <c r="I19" s="204"/>
      <c r="J19" s="152" t="s">
        <v>1902</v>
      </c>
      <c r="K19" s="153">
        <v>7</v>
      </c>
      <c r="L19" s="152" t="s">
        <v>1918</v>
      </c>
      <c r="M19" s="148" t="s">
        <v>1786</v>
      </c>
      <c r="N19" s="153" t="s">
        <v>43</v>
      </c>
      <c r="O19" s="153">
        <v>0</v>
      </c>
      <c r="P19" s="153">
        <v>2</v>
      </c>
      <c r="Q19" s="153">
        <v>1</v>
      </c>
      <c r="R19" s="153">
        <v>1</v>
      </c>
      <c r="S19" s="153">
        <v>4</v>
      </c>
      <c r="T19" s="264">
        <v>0</v>
      </c>
      <c r="U19" s="262">
        <f>'Detallado del Gasto 2025-1'!DZ29</f>
        <v>30115317.230769232</v>
      </c>
      <c r="V19" s="181">
        <v>3917890787</v>
      </c>
      <c r="W19" s="181">
        <v>3130000000</v>
      </c>
      <c r="X19" s="182"/>
      <c r="Y19" s="153" t="s">
        <v>34</v>
      </c>
      <c r="Z19" s="155" t="s">
        <v>99</v>
      </c>
      <c r="AA19" s="153" t="s">
        <v>83</v>
      </c>
      <c r="AB19" s="156" t="s">
        <v>1583</v>
      </c>
      <c r="AC19" s="148" t="s">
        <v>1631</v>
      </c>
      <c r="AD19" s="155" t="s">
        <v>37</v>
      </c>
      <c r="AE19" s="147" t="s">
        <v>1638</v>
      </c>
      <c r="AF19" s="155"/>
      <c r="AG19" s="147" t="s">
        <v>71</v>
      </c>
      <c r="AH19" s="150" t="s">
        <v>1574</v>
      </c>
      <c r="AI19" s="150" t="s">
        <v>1567</v>
      </c>
    </row>
    <row r="20" spans="1:92" ht="108" customHeight="1" x14ac:dyDescent="0.2">
      <c r="A20" s="205"/>
      <c r="B20" s="204"/>
      <c r="C20" s="205"/>
      <c r="D20" s="204"/>
      <c r="E20" s="205"/>
      <c r="F20" s="204"/>
      <c r="G20" s="205"/>
      <c r="H20" s="205"/>
      <c r="I20" s="204"/>
      <c r="J20" s="152" t="s">
        <v>1903</v>
      </c>
      <c r="K20" s="153">
        <v>7</v>
      </c>
      <c r="L20" s="152" t="s">
        <v>1919</v>
      </c>
      <c r="M20" s="148" t="s">
        <v>1733</v>
      </c>
      <c r="N20" s="153" t="s">
        <v>110</v>
      </c>
      <c r="O20" s="153">
        <v>0</v>
      </c>
      <c r="P20" s="153">
        <v>20</v>
      </c>
      <c r="Q20" s="153">
        <v>40</v>
      </c>
      <c r="R20" s="153">
        <v>40</v>
      </c>
      <c r="S20" s="153">
        <v>100</v>
      </c>
      <c r="T20" s="264">
        <v>0</v>
      </c>
      <c r="U20" s="262">
        <f>'Detallado del Gasto 2025-1'!DZ30</f>
        <v>30115317.230769232</v>
      </c>
      <c r="V20" s="181"/>
      <c r="W20" s="181"/>
      <c r="X20" s="182"/>
      <c r="Y20" s="153" t="s">
        <v>34</v>
      </c>
      <c r="Z20" s="155" t="s">
        <v>82</v>
      </c>
      <c r="AA20" s="153" t="s">
        <v>83</v>
      </c>
      <c r="AB20" s="156" t="s">
        <v>1595</v>
      </c>
      <c r="AC20" s="148" t="s">
        <v>1631</v>
      </c>
      <c r="AD20" s="155" t="s">
        <v>37</v>
      </c>
      <c r="AE20" s="147" t="s">
        <v>1643</v>
      </c>
      <c r="AF20" s="155"/>
      <c r="AG20" s="147" t="s">
        <v>71</v>
      </c>
      <c r="AH20" s="150" t="s">
        <v>1574</v>
      </c>
      <c r="AI20" s="150" t="s">
        <v>1567</v>
      </c>
    </row>
    <row r="21" spans="1:92" s="151" customFormat="1" ht="108" customHeight="1" x14ac:dyDescent="0.2">
      <c r="A21" s="205"/>
      <c r="B21" s="204"/>
      <c r="C21" s="205"/>
      <c r="D21" s="204"/>
      <c r="E21" s="205"/>
      <c r="F21" s="204"/>
      <c r="G21" s="205"/>
      <c r="H21" s="205"/>
      <c r="I21" s="204"/>
      <c r="J21" s="152" t="s">
        <v>1881</v>
      </c>
      <c r="K21" s="153">
        <v>7</v>
      </c>
      <c r="L21" s="152" t="s">
        <v>1920</v>
      </c>
      <c r="M21" s="148" t="s">
        <v>1733</v>
      </c>
      <c r="N21" s="153" t="s">
        <v>43</v>
      </c>
      <c r="O21" s="153">
        <v>1</v>
      </c>
      <c r="P21" s="153">
        <v>1</v>
      </c>
      <c r="Q21" s="153">
        <v>1</v>
      </c>
      <c r="R21" s="153">
        <v>1</v>
      </c>
      <c r="S21" s="154">
        <v>4</v>
      </c>
      <c r="T21" s="264">
        <v>247576948.28444439</v>
      </c>
      <c r="U21" s="262">
        <f>'Detallado del Gasto 2025-1'!DZ31</f>
        <v>30115317.230769232</v>
      </c>
      <c r="V21" s="181"/>
      <c r="W21" s="181"/>
      <c r="X21" s="182"/>
      <c r="Y21" s="153" t="s">
        <v>51</v>
      </c>
      <c r="Z21" s="155" t="s">
        <v>537</v>
      </c>
      <c r="AA21" s="153" t="s">
        <v>83</v>
      </c>
      <c r="AB21" s="156" t="s">
        <v>1600</v>
      </c>
      <c r="AC21" s="148" t="s">
        <v>1631</v>
      </c>
      <c r="AD21" s="155" t="s">
        <v>37</v>
      </c>
      <c r="AE21" s="147" t="s">
        <v>1638</v>
      </c>
      <c r="AF21" s="155"/>
      <c r="AG21" s="147" t="s">
        <v>71</v>
      </c>
      <c r="AH21" s="150" t="s">
        <v>1574</v>
      </c>
      <c r="AI21" s="150" t="s">
        <v>1567</v>
      </c>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row>
    <row r="22" spans="1:92" s="151" customFormat="1" ht="108" customHeight="1" x14ac:dyDescent="0.2">
      <c r="A22" s="205"/>
      <c r="B22" s="204"/>
      <c r="C22" s="205"/>
      <c r="D22" s="204"/>
      <c r="E22" s="205"/>
      <c r="F22" s="204"/>
      <c r="G22" s="205"/>
      <c r="H22" s="205"/>
      <c r="I22" s="204"/>
      <c r="J22" s="152" t="s">
        <v>1882</v>
      </c>
      <c r="K22" s="153">
        <v>7</v>
      </c>
      <c r="L22" s="152" t="s">
        <v>1921</v>
      </c>
      <c r="M22" s="148" t="s">
        <v>1733</v>
      </c>
      <c r="N22" s="153" t="s">
        <v>43</v>
      </c>
      <c r="O22" s="153">
        <v>0</v>
      </c>
      <c r="P22" s="153">
        <v>1</v>
      </c>
      <c r="Q22" s="153">
        <v>1</v>
      </c>
      <c r="R22" s="153">
        <v>1</v>
      </c>
      <c r="S22" s="154">
        <v>3</v>
      </c>
      <c r="T22" s="264">
        <v>0</v>
      </c>
      <c r="U22" s="262">
        <f>'Detallado del Gasto 2025-1'!DZ32</f>
        <v>30115317.230769232</v>
      </c>
      <c r="V22" s="181"/>
      <c r="W22" s="181"/>
      <c r="X22" s="182"/>
      <c r="Y22" s="153" t="s">
        <v>34</v>
      </c>
      <c r="Z22" s="155" t="s">
        <v>82</v>
      </c>
      <c r="AA22" s="153" t="s">
        <v>83</v>
      </c>
      <c r="AB22" s="156" t="s">
        <v>1600</v>
      </c>
      <c r="AC22" s="148" t="s">
        <v>1631</v>
      </c>
      <c r="AD22" s="155" t="s">
        <v>37</v>
      </c>
      <c r="AE22" s="147" t="s">
        <v>1638</v>
      </c>
      <c r="AF22" s="155"/>
      <c r="AG22" s="147" t="s">
        <v>71</v>
      </c>
      <c r="AH22" s="150" t="s">
        <v>1574</v>
      </c>
      <c r="AI22" s="150" t="s">
        <v>1567</v>
      </c>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row>
    <row r="23" spans="1:92" ht="108" customHeight="1" x14ac:dyDescent="0.2">
      <c r="A23" s="205"/>
      <c r="B23" s="204"/>
      <c r="C23" s="205"/>
      <c r="D23" s="204"/>
      <c r="E23" s="205"/>
      <c r="F23" s="204"/>
      <c r="G23" s="205"/>
      <c r="H23" s="205"/>
      <c r="I23" s="204"/>
      <c r="J23" s="152" t="s">
        <v>1883</v>
      </c>
      <c r="K23" s="153">
        <v>7</v>
      </c>
      <c r="L23" s="152" t="s">
        <v>1922</v>
      </c>
      <c r="M23" s="148" t="s">
        <v>1733</v>
      </c>
      <c r="N23" s="153" t="s">
        <v>110</v>
      </c>
      <c r="O23" s="153">
        <v>0</v>
      </c>
      <c r="P23" s="153">
        <v>0</v>
      </c>
      <c r="Q23" s="153">
        <v>50</v>
      </c>
      <c r="R23" s="153">
        <v>50</v>
      </c>
      <c r="S23" s="154">
        <v>100</v>
      </c>
      <c r="T23" s="264">
        <v>0</v>
      </c>
      <c r="U23" s="262">
        <f>'Detallado del Gasto 2025-1'!DZ33</f>
        <v>0</v>
      </c>
      <c r="V23" s="181"/>
      <c r="W23" s="181"/>
      <c r="X23" s="182"/>
      <c r="Y23" s="153" t="s">
        <v>34</v>
      </c>
      <c r="Z23" s="155" t="s">
        <v>520</v>
      </c>
      <c r="AA23" s="153" t="s">
        <v>83</v>
      </c>
      <c r="AB23" s="156" t="s">
        <v>1600</v>
      </c>
      <c r="AC23" s="148" t="s">
        <v>1631</v>
      </c>
      <c r="AD23" s="155" t="s">
        <v>37</v>
      </c>
      <c r="AE23" s="147" t="s">
        <v>1638</v>
      </c>
      <c r="AF23" s="155"/>
      <c r="AG23" s="147" t="s">
        <v>71</v>
      </c>
      <c r="AH23" s="150" t="s">
        <v>1574</v>
      </c>
      <c r="AI23" s="150" t="s">
        <v>1567</v>
      </c>
    </row>
    <row r="24" spans="1:92" ht="108" customHeight="1" x14ac:dyDescent="0.2">
      <c r="A24" s="205"/>
      <c r="B24" s="204"/>
      <c r="C24" s="205"/>
      <c r="D24" s="204"/>
      <c r="E24" s="205"/>
      <c r="F24" s="204"/>
      <c r="G24" s="205"/>
      <c r="H24" s="205"/>
      <c r="I24" s="204"/>
      <c r="J24" s="152" t="s">
        <v>1884</v>
      </c>
      <c r="K24" s="153">
        <v>7</v>
      </c>
      <c r="L24" s="152" t="s">
        <v>1923</v>
      </c>
      <c r="M24" s="148" t="s">
        <v>1733</v>
      </c>
      <c r="N24" s="153" t="s">
        <v>110</v>
      </c>
      <c r="O24" s="153">
        <v>100</v>
      </c>
      <c r="P24" s="153">
        <v>100</v>
      </c>
      <c r="Q24" s="153">
        <v>100</v>
      </c>
      <c r="R24" s="153">
        <v>100</v>
      </c>
      <c r="S24" s="154">
        <v>100</v>
      </c>
      <c r="T24" s="264">
        <v>247576948.28444439</v>
      </c>
      <c r="U24" s="262">
        <f>'Detallado del Gasto 2025-1'!DZ34</f>
        <v>30115317.230769232</v>
      </c>
      <c r="V24" s="181"/>
      <c r="W24" s="181"/>
      <c r="X24" s="182"/>
      <c r="Y24" s="153" t="s">
        <v>1690</v>
      </c>
      <c r="Z24" s="155" t="s">
        <v>642</v>
      </c>
      <c r="AA24" s="153" t="s">
        <v>83</v>
      </c>
      <c r="AB24" s="156" t="s">
        <v>1600</v>
      </c>
      <c r="AC24" s="148" t="s">
        <v>1631</v>
      </c>
      <c r="AD24" s="155" t="s">
        <v>37</v>
      </c>
      <c r="AE24" s="147" t="s">
        <v>1638</v>
      </c>
      <c r="AF24" s="155"/>
      <c r="AG24" s="147" t="s">
        <v>71</v>
      </c>
      <c r="AH24" s="150" t="s">
        <v>1574</v>
      </c>
      <c r="AI24" s="150" t="s">
        <v>1567</v>
      </c>
    </row>
    <row r="25" spans="1:92" s="151" customFormat="1" ht="108" customHeight="1" x14ac:dyDescent="0.2">
      <c r="A25" s="205"/>
      <c r="B25" s="204"/>
      <c r="C25" s="205"/>
      <c r="D25" s="204"/>
      <c r="E25" s="205"/>
      <c r="F25" s="204"/>
      <c r="G25" s="205"/>
      <c r="H25" s="205"/>
      <c r="I25" s="204"/>
      <c r="J25" s="152" t="s">
        <v>1885</v>
      </c>
      <c r="K25" s="153">
        <v>7</v>
      </c>
      <c r="L25" s="152" t="s">
        <v>1924</v>
      </c>
      <c r="M25" s="148" t="s">
        <v>1733</v>
      </c>
      <c r="N25" s="153" t="s">
        <v>110</v>
      </c>
      <c r="O25" s="153">
        <v>100</v>
      </c>
      <c r="P25" s="153">
        <v>100</v>
      </c>
      <c r="Q25" s="153">
        <v>100</v>
      </c>
      <c r="R25" s="153">
        <v>100</v>
      </c>
      <c r="S25" s="154">
        <v>100</v>
      </c>
      <c r="T25" s="264">
        <v>247576948.28444439</v>
      </c>
      <c r="U25" s="262">
        <f>'Detallado del Gasto 2025-1'!DZ35</f>
        <v>30115317.230769232</v>
      </c>
      <c r="V25" s="181"/>
      <c r="W25" s="181"/>
      <c r="X25" s="182"/>
      <c r="Y25" s="153" t="s">
        <v>1690</v>
      </c>
      <c r="Z25" s="155" t="s">
        <v>642</v>
      </c>
      <c r="AA25" s="153" t="s">
        <v>83</v>
      </c>
      <c r="AB25" s="156" t="s">
        <v>1600</v>
      </c>
      <c r="AC25" s="148" t="s">
        <v>1631</v>
      </c>
      <c r="AD25" s="155" t="s">
        <v>37</v>
      </c>
      <c r="AE25" s="147" t="s">
        <v>1638</v>
      </c>
      <c r="AF25" s="155"/>
      <c r="AG25" s="147" t="s">
        <v>71</v>
      </c>
      <c r="AH25" s="150" t="s">
        <v>1574</v>
      </c>
      <c r="AI25" s="150" t="s">
        <v>1567</v>
      </c>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row>
    <row r="26" spans="1:92" s="151" customFormat="1" ht="108" customHeight="1" x14ac:dyDescent="0.2">
      <c r="A26" s="205"/>
      <c r="B26" s="204"/>
      <c r="C26" s="205"/>
      <c r="D26" s="204"/>
      <c r="E26" s="205"/>
      <c r="F26" s="204"/>
      <c r="G26" s="205"/>
      <c r="H26" s="205"/>
      <c r="I26" s="204"/>
      <c r="J26" s="152" t="s">
        <v>1886</v>
      </c>
      <c r="K26" s="153">
        <v>7</v>
      </c>
      <c r="L26" s="152" t="s">
        <v>2130</v>
      </c>
      <c r="M26" s="148" t="s">
        <v>1752</v>
      </c>
      <c r="N26" s="153" t="s">
        <v>110</v>
      </c>
      <c r="O26" s="153">
        <v>100</v>
      </c>
      <c r="P26" s="153">
        <v>100</v>
      </c>
      <c r="Q26" s="153">
        <v>100</v>
      </c>
      <c r="R26" s="153">
        <v>100</v>
      </c>
      <c r="S26" s="154">
        <v>100</v>
      </c>
      <c r="T26" s="264">
        <v>247576948.28444439</v>
      </c>
      <c r="U26" s="262">
        <f>'Detallado del Gasto 2025-1'!DZ36</f>
        <v>30115317.230769232</v>
      </c>
      <c r="V26" s="181"/>
      <c r="W26" s="181"/>
      <c r="X26" s="182"/>
      <c r="Y26" s="153" t="s">
        <v>1690</v>
      </c>
      <c r="Z26" s="155" t="s">
        <v>259</v>
      </c>
      <c r="AA26" s="153" t="s">
        <v>28</v>
      </c>
      <c r="AB26" s="156" t="s">
        <v>1583</v>
      </c>
      <c r="AC26" s="148" t="s">
        <v>106</v>
      </c>
      <c r="AD26" s="155" t="s">
        <v>37</v>
      </c>
      <c r="AE26" s="147" t="s">
        <v>1579</v>
      </c>
      <c r="AF26" s="155"/>
      <c r="AG26" s="147" t="s">
        <v>71</v>
      </c>
      <c r="AH26" s="150" t="s">
        <v>1574</v>
      </c>
      <c r="AI26" s="150" t="s">
        <v>1567</v>
      </c>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row>
    <row r="27" spans="1:92" s="151" customFormat="1" ht="108" customHeight="1" x14ac:dyDescent="0.2">
      <c r="A27" s="205"/>
      <c r="B27" s="204"/>
      <c r="C27" s="205"/>
      <c r="D27" s="204"/>
      <c r="E27" s="205"/>
      <c r="F27" s="204"/>
      <c r="G27" s="205"/>
      <c r="H27" s="205"/>
      <c r="I27" s="204"/>
      <c r="J27" s="152" t="s">
        <v>1887</v>
      </c>
      <c r="K27" s="153">
        <v>8</v>
      </c>
      <c r="L27" s="152" t="s">
        <v>1925</v>
      </c>
      <c r="M27" s="148" t="s">
        <v>1752</v>
      </c>
      <c r="N27" s="153" t="s">
        <v>43</v>
      </c>
      <c r="O27" s="153">
        <v>1</v>
      </c>
      <c r="P27" s="153">
        <v>1</v>
      </c>
      <c r="Q27" s="153">
        <v>1</v>
      </c>
      <c r="R27" s="153">
        <v>1</v>
      </c>
      <c r="S27" s="154">
        <v>4</v>
      </c>
      <c r="T27" s="264">
        <v>247576948.28444439</v>
      </c>
      <c r="U27" s="262">
        <f>'Detallado del Gasto 2025-1'!DZ37</f>
        <v>30115317.230769232</v>
      </c>
      <c r="V27" s="181"/>
      <c r="W27" s="181"/>
      <c r="X27" s="182"/>
      <c r="Y27" s="153" t="s">
        <v>51</v>
      </c>
      <c r="Z27" s="155" t="s">
        <v>675</v>
      </c>
      <c r="AA27" s="153" t="s">
        <v>83</v>
      </c>
      <c r="AB27" s="156" t="s">
        <v>1583</v>
      </c>
      <c r="AC27" s="148" t="s">
        <v>106</v>
      </c>
      <c r="AD27" s="155" t="s">
        <v>37</v>
      </c>
      <c r="AE27" s="147" t="s">
        <v>1579</v>
      </c>
      <c r="AF27" s="155"/>
      <c r="AG27" s="147" t="s">
        <v>71</v>
      </c>
      <c r="AH27" s="150" t="s">
        <v>1574</v>
      </c>
      <c r="AI27" s="150" t="s">
        <v>1567</v>
      </c>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row>
    <row r="28" spans="1:92" s="151" customFormat="1" ht="108" customHeight="1" thickBot="1" x14ac:dyDescent="0.25">
      <c r="A28" s="205"/>
      <c r="B28" s="204"/>
      <c r="C28" s="205"/>
      <c r="D28" s="204"/>
      <c r="E28" s="205"/>
      <c r="F28" s="204"/>
      <c r="G28" s="205"/>
      <c r="H28" s="205"/>
      <c r="I28" s="204"/>
      <c r="J28" s="373" t="s">
        <v>1888</v>
      </c>
      <c r="K28" s="173">
        <v>8</v>
      </c>
      <c r="L28" s="373" t="s">
        <v>1870</v>
      </c>
      <c r="M28" s="171" t="s">
        <v>57</v>
      </c>
      <c r="N28" s="173" t="s">
        <v>110</v>
      </c>
      <c r="O28" s="173">
        <v>100</v>
      </c>
      <c r="P28" s="173">
        <v>100</v>
      </c>
      <c r="Q28" s="173">
        <v>100</v>
      </c>
      <c r="R28" s="173">
        <v>100</v>
      </c>
      <c r="S28" s="174">
        <v>100</v>
      </c>
      <c r="T28" s="263">
        <v>247576948.28444439</v>
      </c>
      <c r="U28" s="265">
        <f>'Detallado del Gasto 2025-1'!DZ38</f>
        <v>30115317.230769232</v>
      </c>
      <c r="V28" s="177"/>
      <c r="W28" s="177"/>
      <c r="X28" s="179"/>
      <c r="Y28" s="153" t="s">
        <v>1690</v>
      </c>
      <c r="Z28" s="155" t="s">
        <v>321</v>
      </c>
      <c r="AA28" s="153" t="s">
        <v>28</v>
      </c>
      <c r="AB28" s="156" t="s">
        <v>1600</v>
      </c>
      <c r="AC28" s="148" t="s">
        <v>106</v>
      </c>
      <c r="AD28" s="155" t="s">
        <v>37</v>
      </c>
      <c r="AE28" s="147" t="s">
        <v>1638</v>
      </c>
      <c r="AF28" s="155"/>
      <c r="AG28" s="147" t="s">
        <v>71</v>
      </c>
      <c r="AH28" s="150" t="s">
        <v>1574</v>
      </c>
      <c r="AI28" s="150" t="s">
        <v>1567</v>
      </c>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row>
    <row r="29" spans="1:92" s="151" customFormat="1" ht="124.15" customHeight="1" thickBot="1" x14ac:dyDescent="0.25">
      <c r="A29" s="205"/>
      <c r="B29" s="204"/>
      <c r="C29" s="205"/>
      <c r="D29" s="204"/>
      <c r="E29" s="149" t="s">
        <v>101</v>
      </c>
      <c r="F29" s="153">
        <v>40</v>
      </c>
      <c r="G29" s="148" t="s">
        <v>106</v>
      </c>
      <c r="H29" s="147" t="s">
        <v>103</v>
      </c>
      <c r="I29" s="392">
        <v>100</v>
      </c>
      <c r="J29" s="393" t="s">
        <v>104</v>
      </c>
      <c r="K29" s="394">
        <v>100</v>
      </c>
      <c r="L29" s="395" t="s">
        <v>105</v>
      </c>
      <c r="M29" s="396" t="s">
        <v>32</v>
      </c>
      <c r="N29" s="394" t="s">
        <v>43</v>
      </c>
      <c r="O29" s="394">
        <v>1</v>
      </c>
      <c r="P29" s="394">
        <v>1</v>
      </c>
      <c r="Q29" s="394">
        <v>1</v>
      </c>
      <c r="R29" s="394">
        <v>1</v>
      </c>
      <c r="S29" s="397">
        <v>4</v>
      </c>
      <c r="T29" s="398">
        <f>'Anexo 2024'!BJ40</f>
        <v>81698542</v>
      </c>
      <c r="U29" s="399">
        <f>'Detallado del Gasto 2025-1'!DZ40</f>
        <v>72695990</v>
      </c>
      <c r="V29" s="399">
        <v>470000000</v>
      </c>
      <c r="W29" s="399">
        <v>470000000</v>
      </c>
      <c r="X29" s="400">
        <f>SUM(T29:W29)</f>
        <v>1094394532</v>
      </c>
      <c r="Y29" s="372" t="s">
        <v>51</v>
      </c>
      <c r="Z29" s="155" t="s">
        <v>34</v>
      </c>
      <c r="AA29" s="153" t="s">
        <v>106</v>
      </c>
      <c r="AB29" s="156" t="s">
        <v>34</v>
      </c>
      <c r="AC29" s="148" t="s">
        <v>106</v>
      </c>
      <c r="AD29" s="155" t="s">
        <v>37</v>
      </c>
      <c r="AE29" s="147" t="s">
        <v>38</v>
      </c>
      <c r="AF29" s="155"/>
      <c r="AG29" s="161" t="s">
        <v>71</v>
      </c>
      <c r="AH29" s="150" t="s">
        <v>1574</v>
      </c>
      <c r="AI29" s="150" t="s">
        <v>1567</v>
      </c>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row>
    <row r="30" spans="1:92" s="151" customFormat="1" ht="98.25" customHeight="1" thickBot="1" x14ac:dyDescent="0.25">
      <c r="A30" s="205"/>
      <c r="B30" s="204"/>
      <c r="C30" s="205" t="s">
        <v>107</v>
      </c>
      <c r="D30" s="204">
        <v>50</v>
      </c>
      <c r="E30" s="183" t="s">
        <v>108</v>
      </c>
      <c r="F30" s="196">
        <v>40</v>
      </c>
      <c r="G30" s="183" t="s">
        <v>109</v>
      </c>
      <c r="H30" s="183" t="s">
        <v>1872</v>
      </c>
      <c r="I30" s="369">
        <v>100</v>
      </c>
      <c r="J30" s="375" t="s">
        <v>1891</v>
      </c>
      <c r="K30" s="376">
        <v>70</v>
      </c>
      <c r="L30" s="377" t="s">
        <v>1935</v>
      </c>
      <c r="M30" s="378" t="s">
        <v>1708</v>
      </c>
      <c r="N30" s="376" t="s">
        <v>110</v>
      </c>
      <c r="O30" s="376">
        <v>100</v>
      </c>
      <c r="P30" s="376">
        <v>100</v>
      </c>
      <c r="Q30" s="376">
        <v>100</v>
      </c>
      <c r="R30" s="376">
        <v>100</v>
      </c>
      <c r="S30" s="379">
        <v>400</v>
      </c>
      <c r="T30" s="380">
        <f>'Anexo 2024'!BJ43</f>
        <v>161185119.33333334</v>
      </c>
      <c r="U30" s="381">
        <f>'Detallado del Gasto 2025-1'!DZ43</f>
        <v>36598564.969999999</v>
      </c>
      <c r="V30" s="382">
        <v>700000000</v>
      </c>
      <c r="W30" s="382">
        <v>750000000</v>
      </c>
      <c r="X30" s="383">
        <f>SUM(T30:T33)+SUM(U30:U33)</f>
        <v>629949617.88</v>
      </c>
      <c r="Y30" s="372" t="s">
        <v>1690</v>
      </c>
      <c r="Z30" s="155" t="s">
        <v>111</v>
      </c>
      <c r="AA30" s="153" t="s">
        <v>109</v>
      </c>
      <c r="AB30" s="156" t="s">
        <v>34</v>
      </c>
      <c r="AC30" s="148" t="s">
        <v>1620</v>
      </c>
      <c r="AD30" s="155" t="s">
        <v>37</v>
      </c>
      <c r="AE30" s="147" t="s">
        <v>1643</v>
      </c>
      <c r="AF30" s="155"/>
      <c r="AG30" s="161" t="s">
        <v>71</v>
      </c>
      <c r="AH30" s="150" t="s">
        <v>1622</v>
      </c>
      <c r="AI30" s="150" t="s">
        <v>1593</v>
      </c>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row>
    <row r="31" spans="1:92" s="151" customFormat="1" ht="105.75" customHeight="1" thickBot="1" x14ac:dyDescent="0.25">
      <c r="A31" s="205"/>
      <c r="B31" s="204"/>
      <c r="C31" s="205"/>
      <c r="D31" s="204"/>
      <c r="E31" s="184"/>
      <c r="F31" s="197"/>
      <c r="G31" s="184"/>
      <c r="H31" s="184"/>
      <c r="I31" s="370"/>
      <c r="J31" s="384" t="s">
        <v>1889</v>
      </c>
      <c r="K31" s="153">
        <v>10</v>
      </c>
      <c r="L31" s="152" t="s">
        <v>1904</v>
      </c>
      <c r="M31" s="148" t="s">
        <v>57</v>
      </c>
      <c r="N31" s="153" t="s">
        <v>110</v>
      </c>
      <c r="O31" s="153">
        <v>100</v>
      </c>
      <c r="P31" s="153">
        <v>100</v>
      </c>
      <c r="Q31" s="153">
        <v>100</v>
      </c>
      <c r="R31" s="153">
        <v>100</v>
      </c>
      <c r="S31" s="154">
        <v>100</v>
      </c>
      <c r="T31" s="380">
        <f>'Anexo 2024'!BJ44</f>
        <v>161185119.33333334</v>
      </c>
      <c r="U31" s="262">
        <f>'Detallado del Gasto 2025-1'!DZ44</f>
        <v>36598564.969999999</v>
      </c>
      <c r="V31" s="178"/>
      <c r="W31" s="178"/>
      <c r="X31" s="385"/>
      <c r="Y31" s="372" t="s">
        <v>1690</v>
      </c>
      <c r="Z31" s="155" t="s">
        <v>321</v>
      </c>
      <c r="AA31" s="153" t="s">
        <v>109</v>
      </c>
      <c r="AB31" s="156" t="s">
        <v>34</v>
      </c>
      <c r="AC31" s="148" t="s">
        <v>1620</v>
      </c>
      <c r="AD31" s="155" t="s">
        <v>37</v>
      </c>
      <c r="AE31" s="147" t="s">
        <v>1643</v>
      </c>
      <c r="AF31" s="155"/>
      <c r="AG31" s="161" t="s">
        <v>71</v>
      </c>
      <c r="AH31" s="150" t="s">
        <v>1622</v>
      </c>
      <c r="AI31" s="150" t="s">
        <v>1593</v>
      </c>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row>
    <row r="32" spans="1:92" s="151" customFormat="1" ht="79.5" customHeight="1" thickBot="1" x14ac:dyDescent="0.25">
      <c r="A32" s="205"/>
      <c r="B32" s="204"/>
      <c r="C32" s="205"/>
      <c r="D32" s="204"/>
      <c r="E32" s="184"/>
      <c r="F32" s="197"/>
      <c r="G32" s="184"/>
      <c r="H32" s="184"/>
      <c r="I32" s="370"/>
      <c r="J32" s="384" t="s">
        <v>1890</v>
      </c>
      <c r="K32" s="153">
        <v>10</v>
      </c>
      <c r="L32" s="152" t="s">
        <v>1905</v>
      </c>
      <c r="M32" s="148" t="s">
        <v>57</v>
      </c>
      <c r="N32" s="153" t="s">
        <v>110</v>
      </c>
      <c r="O32" s="153">
        <v>100</v>
      </c>
      <c r="P32" s="153">
        <v>100</v>
      </c>
      <c r="Q32" s="153">
        <v>100</v>
      </c>
      <c r="R32" s="153">
        <v>100</v>
      </c>
      <c r="S32" s="154">
        <v>100</v>
      </c>
      <c r="T32" s="380">
        <f>'Anexo 2024'!BJ45</f>
        <v>161185119.33333334</v>
      </c>
      <c r="U32" s="262">
        <f>'Detallado del Gasto 2025-1'!DZ45</f>
        <v>36598564.969999999</v>
      </c>
      <c r="V32" s="178"/>
      <c r="W32" s="178"/>
      <c r="X32" s="385"/>
      <c r="Y32" s="372" t="s">
        <v>1690</v>
      </c>
      <c r="Z32" s="155" t="s">
        <v>324</v>
      </c>
      <c r="AA32" s="153" t="s">
        <v>109</v>
      </c>
      <c r="AB32" s="156" t="s">
        <v>34</v>
      </c>
      <c r="AC32" s="148" t="s">
        <v>1620</v>
      </c>
      <c r="AD32" s="155" t="s">
        <v>37</v>
      </c>
      <c r="AE32" s="147" t="s">
        <v>1643</v>
      </c>
      <c r="AF32" s="155"/>
      <c r="AG32" s="161" t="s">
        <v>71</v>
      </c>
      <c r="AH32" s="150" t="s">
        <v>1622</v>
      </c>
      <c r="AI32" s="150" t="s">
        <v>1593</v>
      </c>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row>
    <row r="33" spans="1:92" s="151" customFormat="1" ht="90" customHeight="1" thickBot="1" x14ac:dyDescent="0.25">
      <c r="A33" s="205"/>
      <c r="B33" s="204"/>
      <c r="C33" s="205"/>
      <c r="D33" s="204"/>
      <c r="E33" s="185"/>
      <c r="F33" s="198"/>
      <c r="G33" s="185"/>
      <c r="H33" s="185"/>
      <c r="I33" s="371"/>
      <c r="J33" s="401" t="s">
        <v>2136</v>
      </c>
      <c r="K33" s="173">
        <v>10</v>
      </c>
      <c r="L33" s="373" t="s">
        <v>1906</v>
      </c>
      <c r="M33" s="171" t="s">
        <v>180</v>
      </c>
      <c r="N33" s="173" t="s">
        <v>110</v>
      </c>
      <c r="O33" s="173">
        <v>0</v>
      </c>
      <c r="P33" s="173">
        <v>100</v>
      </c>
      <c r="Q33" s="173">
        <v>100</v>
      </c>
      <c r="R33" s="173">
        <v>100</v>
      </c>
      <c r="S33" s="174">
        <v>100</v>
      </c>
      <c r="T33" s="402">
        <f>'Anexo 2024'!BJ46</f>
        <v>0</v>
      </c>
      <c r="U33" s="265">
        <f>'Detallado del Gasto 2025-1'!DZ46</f>
        <v>36598564.969999999</v>
      </c>
      <c r="V33" s="178"/>
      <c r="W33" s="178"/>
      <c r="X33" s="385"/>
      <c r="Y33" s="372" t="s">
        <v>34</v>
      </c>
      <c r="Z33" s="155" t="s">
        <v>314</v>
      </c>
      <c r="AA33" s="153" t="s">
        <v>109</v>
      </c>
      <c r="AB33" s="156" t="s">
        <v>34</v>
      </c>
      <c r="AC33" s="148" t="s">
        <v>1620</v>
      </c>
      <c r="AD33" s="155" t="s">
        <v>37</v>
      </c>
      <c r="AE33" s="147" t="s">
        <v>1643</v>
      </c>
      <c r="AF33" s="155"/>
      <c r="AG33" s="161" t="s">
        <v>71</v>
      </c>
      <c r="AH33" s="150" t="s">
        <v>1622</v>
      </c>
      <c r="AI33" s="150" t="s">
        <v>1593</v>
      </c>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row>
    <row r="34" spans="1:92" s="151" customFormat="1" ht="90" customHeight="1" thickBot="1" x14ac:dyDescent="0.25">
      <c r="A34" s="205"/>
      <c r="B34" s="204"/>
      <c r="C34" s="205"/>
      <c r="D34" s="204"/>
      <c r="E34" s="183" t="s">
        <v>112</v>
      </c>
      <c r="F34" s="196">
        <v>60</v>
      </c>
      <c r="G34" s="183" t="s">
        <v>109</v>
      </c>
      <c r="H34" s="183" t="s">
        <v>113</v>
      </c>
      <c r="I34" s="369">
        <v>100</v>
      </c>
      <c r="J34" s="375" t="s">
        <v>1892</v>
      </c>
      <c r="K34" s="376">
        <v>33</v>
      </c>
      <c r="L34" s="377" t="s">
        <v>1907</v>
      </c>
      <c r="M34" s="378" t="s">
        <v>57</v>
      </c>
      <c r="N34" s="376" t="s">
        <v>43</v>
      </c>
      <c r="O34" s="376">
        <v>1</v>
      </c>
      <c r="P34" s="376">
        <v>1</v>
      </c>
      <c r="Q34" s="376">
        <v>1</v>
      </c>
      <c r="R34" s="376">
        <v>1</v>
      </c>
      <c r="S34" s="379">
        <v>4</v>
      </c>
      <c r="T34" s="380">
        <f>'Anexo 2024'!BJ48</f>
        <v>1304192866.3</v>
      </c>
      <c r="U34" s="381">
        <f>'Detallado del Gasto 2025-1'!DZ48</f>
        <v>15140140224.4</v>
      </c>
      <c r="V34" s="382">
        <v>650000000</v>
      </c>
      <c r="W34" s="382">
        <v>830000000</v>
      </c>
      <c r="X34" s="383">
        <f>SUM(U34:U36)+SUM(T34:T36)</f>
        <v>24213335481.199997</v>
      </c>
      <c r="Y34" s="372" t="s">
        <v>51</v>
      </c>
      <c r="Z34" s="155" t="s">
        <v>312</v>
      </c>
      <c r="AA34" s="153" t="s">
        <v>173</v>
      </c>
      <c r="AB34" s="156" t="s">
        <v>34</v>
      </c>
      <c r="AC34" s="148" t="s">
        <v>1620</v>
      </c>
      <c r="AD34" s="155" t="s">
        <v>37</v>
      </c>
      <c r="AE34" s="147" t="s">
        <v>1643</v>
      </c>
      <c r="AF34" s="155"/>
      <c r="AG34" s="161" t="s">
        <v>71</v>
      </c>
      <c r="AH34" s="150" t="s">
        <v>1622</v>
      </c>
      <c r="AI34" s="150" t="s">
        <v>1593</v>
      </c>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row>
    <row r="35" spans="1:92" s="151" customFormat="1" ht="90" customHeight="1" thickBot="1" x14ac:dyDescent="0.25">
      <c r="A35" s="205"/>
      <c r="B35" s="204"/>
      <c r="C35" s="205"/>
      <c r="D35" s="204"/>
      <c r="E35" s="184"/>
      <c r="F35" s="197"/>
      <c r="G35" s="184"/>
      <c r="H35" s="184"/>
      <c r="I35" s="370"/>
      <c r="J35" s="384" t="s">
        <v>1893</v>
      </c>
      <c r="K35" s="153">
        <v>33</v>
      </c>
      <c r="L35" s="152" t="s">
        <v>1908</v>
      </c>
      <c r="M35" s="148" t="s">
        <v>57</v>
      </c>
      <c r="N35" s="153" t="s">
        <v>43</v>
      </c>
      <c r="O35" s="153">
        <v>0</v>
      </c>
      <c r="P35" s="153">
        <v>1</v>
      </c>
      <c r="Q35" s="153">
        <v>1</v>
      </c>
      <c r="R35" s="153">
        <v>1</v>
      </c>
      <c r="S35" s="154">
        <v>3</v>
      </c>
      <c r="T35" s="380">
        <f>'Anexo 2024'!BJ49</f>
        <v>0</v>
      </c>
      <c r="U35" s="262">
        <f>'Detallado del Gasto 2025-1'!DZ49</f>
        <v>117715648.8</v>
      </c>
      <c r="V35" s="178"/>
      <c r="W35" s="178"/>
      <c r="X35" s="385"/>
      <c r="Y35" s="372" t="s">
        <v>34</v>
      </c>
      <c r="Z35" s="155" t="s">
        <v>318</v>
      </c>
      <c r="AA35" s="153" t="s">
        <v>173</v>
      </c>
      <c r="AB35" s="156" t="s">
        <v>34</v>
      </c>
      <c r="AC35" s="148" t="s">
        <v>1620</v>
      </c>
      <c r="AD35" s="155" t="s">
        <v>37</v>
      </c>
      <c r="AE35" s="147" t="s">
        <v>1643</v>
      </c>
      <c r="AF35" s="155"/>
      <c r="AG35" s="161" t="s">
        <v>71</v>
      </c>
      <c r="AH35" s="150" t="s">
        <v>1622</v>
      </c>
      <c r="AI35" s="150" t="s">
        <v>1593</v>
      </c>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row>
    <row r="36" spans="1:92" s="151" customFormat="1" ht="87" customHeight="1" thickBot="1" x14ac:dyDescent="0.25">
      <c r="A36" s="205"/>
      <c r="B36" s="204"/>
      <c r="C36" s="205"/>
      <c r="D36" s="204"/>
      <c r="E36" s="185"/>
      <c r="F36" s="198"/>
      <c r="G36" s="185"/>
      <c r="H36" s="185"/>
      <c r="I36" s="371"/>
      <c r="J36" s="401" t="s">
        <v>1894</v>
      </c>
      <c r="K36" s="173">
        <v>34</v>
      </c>
      <c r="L36" s="373" t="s">
        <v>1909</v>
      </c>
      <c r="M36" s="171" t="s">
        <v>195</v>
      </c>
      <c r="N36" s="173" t="s">
        <v>43</v>
      </c>
      <c r="O36" s="173">
        <v>1</v>
      </c>
      <c r="P36" s="173">
        <v>1</v>
      </c>
      <c r="Q36" s="173">
        <v>1</v>
      </c>
      <c r="R36" s="173">
        <v>1</v>
      </c>
      <c r="S36" s="174">
        <v>4</v>
      </c>
      <c r="T36" s="402">
        <f>'Anexo 2024'!BJ50</f>
        <v>7533571092.8999996</v>
      </c>
      <c r="U36" s="265">
        <f>'Detallado del Gasto 2025-1'!DZ50</f>
        <v>117715648.8</v>
      </c>
      <c r="V36" s="178"/>
      <c r="W36" s="178"/>
      <c r="X36" s="385"/>
      <c r="Y36" s="372" t="s">
        <v>51</v>
      </c>
      <c r="Z36" s="155" t="s">
        <v>114</v>
      </c>
      <c r="AA36" s="153" t="s">
        <v>109</v>
      </c>
      <c r="AB36" s="156" t="s">
        <v>34</v>
      </c>
      <c r="AC36" s="148" t="s">
        <v>1637</v>
      </c>
      <c r="AD36" s="155" t="s">
        <v>37</v>
      </c>
      <c r="AE36" s="147" t="s">
        <v>1643</v>
      </c>
      <c r="AF36" s="155"/>
      <c r="AG36" s="161" t="s">
        <v>71</v>
      </c>
      <c r="AH36" s="150" t="s">
        <v>1574</v>
      </c>
      <c r="AI36" s="150" t="s">
        <v>1593</v>
      </c>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row>
    <row r="37" spans="1:92" s="151" customFormat="1" ht="70.5" customHeight="1" thickBot="1" x14ac:dyDescent="0.25">
      <c r="A37" s="183" t="s">
        <v>115</v>
      </c>
      <c r="B37" s="196">
        <v>20</v>
      </c>
      <c r="C37" s="183" t="s">
        <v>116</v>
      </c>
      <c r="D37" s="196">
        <v>100</v>
      </c>
      <c r="E37" s="205" t="s">
        <v>117</v>
      </c>
      <c r="F37" s="204">
        <v>20</v>
      </c>
      <c r="G37" s="205" t="s">
        <v>118</v>
      </c>
      <c r="H37" s="205" t="s">
        <v>119</v>
      </c>
      <c r="I37" s="403">
        <v>100</v>
      </c>
      <c r="J37" s="404" t="s">
        <v>120</v>
      </c>
      <c r="K37" s="376">
        <v>30</v>
      </c>
      <c r="L37" s="405" t="s">
        <v>1926</v>
      </c>
      <c r="M37" s="378" t="s">
        <v>32</v>
      </c>
      <c r="N37" s="376" t="s">
        <v>43</v>
      </c>
      <c r="O37" s="376">
        <v>2</v>
      </c>
      <c r="P37" s="376">
        <v>2</v>
      </c>
      <c r="Q37" s="376">
        <v>2</v>
      </c>
      <c r="R37" s="376">
        <v>2</v>
      </c>
      <c r="S37" s="379">
        <v>8</v>
      </c>
      <c r="T37" s="380">
        <f>'Anexo 2024'!BJ54</f>
        <v>132883412</v>
      </c>
      <c r="U37" s="381">
        <f>'Detallado del Gasto 2025-1'!DZ54</f>
        <v>1872917798.1666667</v>
      </c>
      <c r="V37" s="406">
        <v>800000000</v>
      </c>
      <c r="W37" s="406">
        <v>3548841923</v>
      </c>
      <c r="X37" s="407">
        <f>SUM(U37:U39)+SUM(T37:T39)</f>
        <v>2227346479.5</v>
      </c>
      <c r="Y37" s="372" t="s">
        <v>51</v>
      </c>
      <c r="Z37" s="147" t="s">
        <v>121</v>
      </c>
      <c r="AA37" s="153" t="s">
        <v>118</v>
      </c>
      <c r="AB37" s="156" t="s">
        <v>34</v>
      </c>
      <c r="AC37" s="148" t="s">
        <v>36</v>
      </c>
      <c r="AD37" s="155" t="s">
        <v>37</v>
      </c>
      <c r="AE37" s="147" t="s">
        <v>1602</v>
      </c>
      <c r="AF37" s="155"/>
      <c r="AG37" s="149" t="s">
        <v>39</v>
      </c>
      <c r="AH37" s="150" t="s">
        <v>46</v>
      </c>
      <c r="AI37" s="150" t="s">
        <v>47</v>
      </c>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row>
    <row r="38" spans="1:92" s="151" customFormat="1" ht="71.25" customHeight="1" thickBot="1" x14ac:dyDescent="0.25">
      <c r="A38" s="184"/>
      <c r="B38" s="197"/>
      <c r="C38" s="184"/>
      <c r="D38" s="197"/>
      <c r="E38" s="205"/>
      <c r="F38" s="204"/>
      <c r="G38" s="205"/>
      <c r="H38" s="205"/>
      <c r="I38" s="403"/>
      <c r="J38" s="408" t="s">
        <v>122</v>
      </c>
      <c r="K38" s="153">
        <v>30</v>
      </c>
      <c r="L38" s="142" t="s">
        <v>123</v>
      </c>
      <c r="M38" s="148" t="s">
        <v>57</v>
      </c>
      <c r="N38" s="153" t="s">
        <v>43</v>
      </c>
      <c r="O38" s="153">
        <v>1</v>
      </c>
      <c r="P38" s="153">
        <v>4</v>
      </c>
      <c r="Q38" s="153">
        <v>4</v>
      </c>
      <c r="R38" s="153">
        <v>1</v>
      </c>
      <c r="S38" s="154">
        <v>10</v>
      </c>
      <c r="T38" s="380">
        <f>'Anexo 2024'!BJ55</f>
        <v>132883412</v>
      </c>
      <c r="U38" s="262">
        <f>'Detallado del Gasto 2025-1'!DZ55</f>
        <v>44330928.666666664</v>
      </c>
      <c r="V38" s="181">
        <v>800000000</v>
      </c>
      <c r="W38" s="181">
        <v>3548841923</v>
      </c>
      <c r="X38" s="409"/>
      <c r="Y38" s="372" t="s">
        <v>51</v>
      </c>
      <c r="Z38" s="147" t="s">
        <v>121</v>
      </c>
      <c r="AA38" s="153" t="s">
        <v>118</v>
      </c>
      <c r="AB38" s="156" t="s">
        <v>34</v>
      </c>
      <c r="AC38" s="148" t="s">
        <v>1637</v>
      </c>
      <c r="AD38" s="155" t="s">
        <v>37</v>
      </c>
      <c r="AE38" s="147" t="s">
        <v>1602</v>
      </c>
      <c r="AF38" s="155"/>
      <c r="AG38" s="149" t="s">
        <v>39</v>
      </c>
      <c r="AH38" s="150" t="s">
        <v>46</v>
      </c>
      <c r="AI38" s="150" t="s">
        <v>47</v>
      </c>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row>
    <row r="39" spans="1:92" s="151" customFormat="1" ht="41.45" customHeight="1" thickBot="1" x14ac:dyDescent="0.25">
      <c r="A39" s="184"/>
      <c r="B39" s="197"/>
      <c r="C39" s="184"/>
      <c r="D39" s="197"/>
      <c r="E39" s="205"/>
      <c r="F39" s="204"/>
      <c r="G39" s="205"/>
      <c r="H39" s="205"/>
      <c r="I39" s="403"/>
      <c r="J39" s="412" t="s">
        <v>124</v>
      </c>
      <c r="K39" s="173">
        <v>40</v>
      </c>
      <c r="L39" s="413" t="s">
        <v>125</v>
      </c>
      <c r="M39" s="171" t="s">
        <v>57</v>
      </c>
      <c r="N39" s="173" t="s">
        <v>43</v>
      </c>
      <c r="O39" s="173">
        <v>0</v>
      </c>
      <c r="P39" s="173">
        <v>1</v>
      </c>
      <c r="Q39" s="173">
        <v>1</v>
      </c>
      <c r="R39" s="173">
        <v>1</v>
      </c>
      <c r="S39" s="174">
        <v>3</v>
      </c>
      <c r="T39" s="402">
        <f>'Anexo 2024'!BJ56</f>
        <v>0</v>
      </c>
      <c r="U39" s="265">
        <f>'Detallado del Gasto 2025-1'!DZ56</f>
        <v>44330928.666666664</v>
      </c>
      <c r="V39" s="177">
        <v>800000000</v>
      </c>
      <c r="W39" s="177">
        <v>3548841923</v>
      </c>
      <c r="X39" s="414"/>
      <c r="Y39" s="372" t="s">
        <v>34</v>
      </c>
      <c r="Z39" s="147" t="s">
        <v>126</v>
      </c>
      <c r="AA39" s="153" t="s">
        <v>118</v>
      </c>
      <c r="AB39" s="156" t="s">
        <v>34</v>
      </c>
      <c r="AC39" s="148" t="s">
        <v>36</v>
      </c>
      <c r="AD39" s="155" t="s">
        <v>37</v>
      </c>
      <c r="AE39" s="147" t="s">
        <v>1602</v>
      </c>
      <c r="AF39" s="155"/>
      <c r="AG39" s="149" t="s">
        <v>39</v>
      </c>
      <c r="AH39" s="150" t="s">
        <v>46</v>
      </c>
      <c r="AI39" s="150" t="s">
        <v>47</v>
      </c>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row>
    <row r="40" spans="1:92" s="151" customFormat="1" ht="79.150000000000006" customHeight="1" thickBot="1" x14ac:dyDescent="0.25">
      <c r="A40" s="184"/>
      <c r="B40" s="197"/>
      <c r="C40" s="184"/>
      <c r="D40" s="197"/>
      <c r="E40" s="205" t="s">
        <v>127</v>
      </c>
      <c r="F40" s="204">
        <v>40</v>
      </c>
      <c r="G40" s="205" t="s">
        <v>118</v>
      </c>
      <c r="H40" s="205" t="s">
        <v>128</v>
      </c>
      <c r="I40" s="403">
        <v>100</v>
      </c>
      <c r="J40" s="404" t="s">
        <v>129</v>
      </c>
      <c r="K40" s="376">
        <v>10</v>
      </c>
      <c r="L40" s="405" t="s">
        <v>1927</v>
      </c>
      <c r="M40" s="378" t="s">
        <v>57</v>
      </c>
      <c r="N40" s="376" t="s">
        <v>43</v>
      </c>
      <c r="O40" s="376">
        <v>1</v>
      </c>
      <c r="P40" s="376">
        <v>1</v>
      </c>
      <c r="Q40" s="376">
        <v>1</v>
      </c>
      <c r="R40" s="376">
        <v>1</v>
      </c>
      <c r="S40" s="379">
        <v>4</v>
      </c>
      <c r="T40" s="380">
        <f>'Anexo 2024'!BJ58</f>
        <v>179548373</v>
      </c>
      <c r="U40" s="381">
        <f>'Detallado del Gasto 2025-1'!DZ58</f>
        <v>196621875.14399999</v>
      </c>
      <c r="V40" s="382">
        <v>3910000000</v>
      </c>
      <c r="W40" s="382">
        <v>5010000000</v>
      </c>
      <c r="X40" s="383">
        <f>SUM(U40:U44)+SUM(T40:T44)</f>
        <v>26771979246.23</v>
      </c>
      <c r="Y40" s="372" t="s">
        <v>51</v>
      </c>
      <c r="Z40" s="147" t="s">
        <v>130</v>
      </c>
      <c r="AA40" s="153" t="s">
        <v>118</v>
      </c>
      <c r="AB40" s="156" t="s">
        <v>34</v>
      </c>
      <c r="AC40" s="148" t="s">
        <v>36</v>
      </c>
      <c r="AD40" s="155" t="s">
        <v>37</v>
      </c>
      <c r="AE40" s="147" t="s">
        <v>1602</v>
      </c>
      <c r="AF40" s="161"/>
      <c r="AG40" s="149" t="s">
        <v>39</v>
      </c>
      <c r="AH40" s="150" t="s">
        <v>1566</v>
      </c>
      <c r="AI40" s="150" t="s">
        <v>1575</v>
      </c>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row>
    <row r="41" spans="1:92" s="151" customFormat="1" ht="86.25" thickBot="1" x14ac:dyDescent="0.25">
      <c r="A41" s="184"/>
      <c r="B41" s="197"/>
      <c r="C41" s="184"/>
      <c r="D41" s="197"/>
      <c r="E41" s="205"/>
      <c r="F41" s="204"/>
      <c r="G41" s="205"/>
      <c r="H41" s="205"/>
      <c r="I41" s="403"/>
      <c r="J41" s="408" t="s">
        <v>131</v>
      </c>
      <c r="K41" s="153">
        <v>40</v>
      </c>
      <c r="L41" s="142" t="s">
        <v>132</v>
      </c>
      <c r="M41" s="148" t="s">
        <v>57</v>
      </c>
      <c r="N41" s="153" t="s">
        <v>110</v>
      </c>
      <c r="O41" s="153">
        <v>15</v>
      </c>
      <c r="P41" s="153">
        <v>25</v>
      </c>
      <c r="Q41" s="153">
        <v>30</v>
      </c>
      <c r="R41" s="153">
        <v>30</v>
      </c>
      <c r="S41" s="154">
        <v>100</v>
      </c>
      <c r="T41" s="380">
        <f>'Anexo 2024'!BJ59</f>
        <v>1238018248.3499999</v>
      </c>
      <c r="U41" s="262">
        <f>'Detallado del Gasto 2025-1'!DZ59</f>
        <v>196621875.14399999</v>
      </c>
      <c r="V41" s="178"/>
      <c r="W41" s="178"/>
      <c r="X41" s="385"/>
      <c r="Y41" s="372" t="s">
        <v>51</v>
      </c>
      <c r="Z41" s="147" t="s">
        <v>133</v>
      </c>
      <c r="AA41" s="153" t="s">
        <v>118</v>
      </c>
      <c r="AB41" s="156" t="s">
        <v>34</v>
      </c>
      <c r="AC41" s="148" t="s">
        <v>36</v>
      </c>
      <c r="AD41" s="155" t="s">
        <v>37</v>
      </c>
      <c r="AE41" s="147" t="s">
        <v>1602</v>
      </c>
      <c r="AF41" s="161"/>
      <c r="AG41" s="149" t="s">
        <v>71</v>
      </c>
      <c r="AH41" s="150" t="s">
        <v>1580</v>
      </c>
      <c r="AI41" s="150" t="s">
        <v>47</v>
      </c>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row>
    <row r="42" spans="1:92" s="151" customFormat="1" ht="41.45" customHeight="1" thickBot="1" x14ac:dyDescent="0.25">
      <c r="A42" s="184"/>
      <c r="B42" s="197"/>
      <c r="C42" s="184"/>
      <c r="D42" s="197"/>
      <c r="E42" s="205"/>
      <c r="F42" s="204"/>
      <c r="G42" s="205"/>
      <c r="H42" s="205"/>
      <c r="I42" s="403"/>
      <c r="J42" s="408" t="s">
        <v>134</v>
      </c>
      <c r="K42" s="153">
        <v>30</v>
      </c>
      <c r="L42" s="142" t="s">
        <v>135</v>
      </c>
      <c r="M42" s="148" t="s">
        <v>1824</v>
      </c>
      <c r="N42" s="153" t="s">
        <v>33</v>
      </c>
      <c r="O42" s="153">
        <v>400</v>
      </c>
      <c r="P42" s="153">
        <v>400</v>
      </c>
      <c r="Q42" s="153">
        <v>350</v>
      </c>
      <c r="R42" s="153">
        <v>350</v>
      </c>
      <c r="S42" s="154">
        <v>1500</v>
      </c>
      <c r="T42" s="380">
        <f>'Anexo 2024'!BJ60</f>
        <v>21976672946.139999</v>
      </c>
      <c r="U42" s="262">
        <f>'Detallado del Gasto 2025-1'!DZ60</f>
        <v>2494220093.164</v>
      </c>
      <c r="V42" s="178"/>
      <c r="W42" s="178"/>
      <c r="X42" s="385"/>
      <c r="Y42" s="372" t="s">
        <v>1690</v>
      </c>
      <c r="Z42" s="155" t="s">
        <v>35</v>
      </c>
      <c r="AA42" s="153" t="s">
        <v>118</v>
      </c>
      <c r="AB42" s="156" t="s">
        <v>34</v>
      </c>
      <c r="AC42" s="148" t="s">
        <v>36</v>
      </c>
      <c r="AD42" s="155" t="s">
        <v>37</v>
      </c>
      <c r="AE42" s="147" t="s">
        <v>1602</v>
      </c>
      <c r="AF42" s="161"/>
      <c r="AG42" s="149" t="s">
        <v>71</v>
      </c>
      <c r="AH42" s="150" t="s">
        <v>40</v>
      </c>
      <c r="AI42" s="150" t="s">
        <v>41</v>
      </c>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row>
    <row r="43" spans="1:92" s="151" customFormat="1" ht="41.45" customHeight="1" thickBot="1" x14ac:dyDescent="0.25">
      <c r="A43" s="184"/>
      <c r="B43" s="197"/>
      <c r="C43" s="184"/>
      <c r="D43" s="197"/>
      <c r="E43" s="205"/>
      <c r="F43" s="204"/>
      <c r="G43" s="205"/>
      <c r="H43" s="205"/>
      <c r="I43" s="403"/>
      <c r="J43" s="408" t="s">
        <v>136</v>
      </c>
      <c r="K43" s="153">
        <v>10</v>
      </c>
      <c r="L43" s="142" t="s">
        <v>1928</v>
      </c>
      <c r="M43" s="148" t="s">
        <v>1824</v>
      </c>
      <c r="N43" s="153" t="s">
        <v>43</v>
      </c>
      <c r="O43" s="153">
        <v>0</v>
      </c>
      <c r="P43" s="153">
        <v>1</v>
      </c>
      <c r="Q43" s="153">
        <v>1</v>
      </c>
      <c r="R43" s="153">
        <v>1</v>
      </c>
      <c r="S43" s="154">
        <v>3</v>
      </c>
      <c r="T43" s="380">
        <f>'Anexo 2024'!BJ61</f>
        <v>0</v>
      </c>
      <c r="U43" s="262">
        <f>'Detallado del Gasto 2025-1'!DZ61</f>
        <v>196621875.14399999</v>
      </c>
      <c r="V43" s="178"/>
      <c r="W43" s="178"/>
      <c r="X43" s="385"/>
      <c r="Y43" s="372" t="s">
        <v>51</v>
      </c>
      <c r="Z43" s="147" t="s">
        <v>137</v>
      </c>
      <c r="AA43" s="153" t="s">
        <v>118</v>
      </c>
      <c r="AB43" s="156" t="s">
        <v>34</v>
      </c>
      <c r="AC43" s="148" t="s">
        <v>36</v>
      </c>
      <c r="AD43" s="155" t="s">
        <v>37</v>
      </c>
      <c r="AE43" s="147" t="s">
        <v>1602</v>
      </c>
      <c r="AF43" s="161" t="s">
        <v>1873</v>
      </c>
      <c r="AG43" s="149" t="s">
        <v>71</v>
      </c>
      <c r="AH43" s="150" t="s">
        <v>1587</v>
      </c>
      <c r="AI43" s="150" t="s">
        <v>1567</v>
      </c>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row>
    <row r="44" spans="1:92" s="151" customFormat="1" ht="41.45" customHeight="1" thickBot="1" x14ac:dyDescent="0.25">
      <c r="A44" s="184"/>
      <c r="B44" s="197"/>
      <c r="C44" s="184"/>
      <c r="D44" s="197"/>
      <c r="E44" s="205"/>
      <c r="F44" s="204"/>
      <c r="G44" s="205"/>
      <c r="H44" s="205"/>
      <c r="I44" s="403"/>
      <c r="J44" s="412" t="s">
        <v>138</v>
      </c>
      <c r="K44" s="173">
        <v>10</v>
      </c>
      <c r="L44" s="413" t="s">
        <v>1928</v>
      </c>
      <c r="M44" s="171" t="s">
        <v>1824</v>
      </c>
      <c r="N44" s="173" t="s">
        <v>43</v>
      </c>
      <c r="O44" s="173">
        <v>1</v>
      </c>
      <c r="P44" s="173">
        <v>1</v>
      </c>
      <c r="Q44" s="173">
        <v>1</v>
      </c>
      <c r="R44" s="173">
        <v>1</v>
      </c>
      <c r="S44" s="174">
        <v>4</v>
      </c>
      <c r="T44" s="402">
        <f>'Anexo 2024'!BJ62</f>
        <v>97032085</v>
      </c>
      <c r="U44" s="265">
        <f>'Detallado del Gasto 2025-1'!DZ62</f>
        <v>196621875.14399999</v>
      </c>
      <c r="V44" s="178"/>
      <c r="W44" s="178"/>
      <c r="X44" s="385"/>
      <c r="Y44" s="372" t="s">
        <v>51</v>
      </c>
      <c r="Z44" s="147" t="s">
        <v>137</v>
      </c>
      <c r="AA44" s="153" t="s">
        <v>118</v>
      </c>
      <c r="AB44" s="156" t="s">
        <v>34</v>
      </c>
      <c r="AC44" s="148" t="s">
        <v>36</v>
      </c>
      <c r="AD44" s="155" t="s">
        <v>37</v>
      </c>
      <c r="AE44" s="147" t="s">
        <v>1602</v>
      </c>
      <c r="AF44" s="161"/>
      <c r="AG44" s="149" t="s">
        <v>71</v>
      </c>
      <c r="AH44" s="150" t="s">
        <v>1587</v>
      </c>
      <c r="AI44" s="150" t="s">
        <v>1581</v>
      </c>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row>
    <row r="45" spans="1:92" s="151" customFormat="1" ht="41.45" customHeight="1" x14ac:dyDescent="0.2">
      <c r="A45" s="184"/>
      <c r="B45" s="197"/>
      <c r="C45" s="184"/>
      <c r="D45" s="197"/>
      <c r="E45" s="183" t="s">
        <v>1874</v>
      </c>
      <c r="F45" s="196">
        <v>40</v>
      </c>
      <c r="G45" s="183" t="s">
        <v>118</v>
      </c>
      <c r="H45" s="183" t="s">
        <v>139</v>
      </c>
      <c r="I45" s="370">
        <v>100</v>
      </c>
      <c r="J45" s="404" t="s">
        <v>140</v>
      </c>
      <c r="K45" s="415">
        <v>50</v>
      </c>
      <c r="L45" s="377" t="s">
        <v>1929</v>
      </c>
      <c r="M45" s="378" t="s">
        <v>1712</v>
      </c>
      <c r="N45" s="376" t="s">
        <v>43</v>
      </c>
      <c r="O45" s="376">
        <v>0</v>
      </c>
      <c r="P45" s="376">
        <v>1</v>
      </c>
      <c r="Q45" s="376">
        <v>1</v>
      </c>
      <c r="R45" s="376">
        <v>1</v>
      </c>
      <c r="S45" s="379">
        <v>3</v>
      </c>
      <c r="T45" s="381">
        <f>'Anexo 2024'!BJ64</f>
        <v>0</v>
      </c>
      <c r="U45" s="381">
        <f>'Detallado del Gasto 2025-1'!DZ64</f>
        <v>42631499</v>
      </c>
      <c r="V45" s="382">
        <v>900000000</v>
      </c>
      <c r="W45" s="382">
        <v>900000000</v>
      </c>
      <c r="X45" s="383">
        <f>SUM(U45:U47)+SUM(T45:T47)</f>
        <v>5484272297.8000002</v>
      </c>
      <c r="Y45" s="372" t="s">
        <v>34</v>
      </c>
      <c r="Z45" s="147" t="s">
        <v>347</v>
      </c>
      <c r="AA45" s="153" t="s">
        <v>118</v>
      </c>
      <c r="AB45" s="156" t="s">
        <v>1668</v>
      </c>
      <c r="AC45" s="148" t="s">
        <v>36</v>
      </c>
      <c r="AD45" s="155" t="s">
        <v>37</v>
      </c>
      <c r="AE45" s="147" t="s">
        <v>1591</v>
      </c>
      <c r="AF45" s="161"/>
      <c r="AG45" s="149" t="s">
        <v>71</v>
      </c>
      <c r="AH45" s="150" t="s">
        <v>1587</v>
      </c>
      <c r="AI45" s="150" t="s">
        <v>1581</v>
      </c>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row>
    <row r="46" spans="1:92" s="151" customFormat="1" ht="52.5" customHeight="1" x14ac:dyDescent="0.2">
      <c r="A46" s="184"/>
      <c r="B46" s="197"/>
      <c r="C46" s="184"/>
      <c r="D46" s="197"/>
      <c r="E46" s="184"/>
      <c r="F46" s="197"/>
      <c r="G46" s="184"/>
      <c r="H46" s="184"/>
      <c r="I46" s="370"/>
      <c r="J46" s="416" t="s">
        <v>1940</v>
      </c>
      <c r="K46" s="168">
        <v>30</v>
      </c>
      <c r="L46" s="152" t="s">
        <v>1930</v>
      </c>
      <c r="M46" s="148" t="s">
        <v>1712</v>
      </c>
      <c r="N46" s="153" t="s">
        <v>43</v>
      </c>
      <c r="O46" s="153">
        <v>0</v>
      </c>
      <c r="P46" s="153">
        <v>1</v>
      </c>
      <c r="Q46" s="153">
        <v>1</v>
      </c>
      <c r="R46" s="153">
        <v>1</v>
      </c>
      <c r="S46" s="154">
        <v>3</v>
      </c>
      <c r="T46" s="177">
        <f>'Anexo 2024'!BJ65</f>
        <v>5399009299.8000002</v>
      </c>
      <c r="U46" s="177">
        <f>'Detallado del Gasto 2025-1'!DZ65</f>
        <v>42631499</v>
      </c>
      <c r="V46" s="178"/>
      <c r="W46" s="178"/>
      <c r="X46" s="385"/>
      <c r="Y46" s="372" t="s">
        <v>34</v>
      </c>
      <c r="Z46" s="155" t="s">
        <v>141</v>
      </c>
      <c r="AA46" s="153" t="s">
        <v>118</v>
      </c>
      <c r="AB46" s="156" t="s">
        <v>34</v>
      </c>
      <c r="AC46" s="148" t="s">
        <v>36</v>
      </c>
      <c r="AD46" s="155" t="s">
        <v>37</v>
      </c>
      <c r="AE46" s="147" t="s">
        <v>1602</v>
      </c>
      <c r="AF46" s="155"/>
      <c r="AG46" s="149" t="s">
        <v>39</v>
      </c>
      <c r="AH46" s="150" t="s">
        <v>1587</v>
      </c>
      <c r="AI46" s="150" t="s">
        <v>1567</v>
      </c>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row>
    <row r="47" spans="1:92" s="151" customFormat="1" ht="69" customHeight="1" thickBot="1" x14ac:dyDescent="0.25">
      <c r="A47" s="185"/>
      <c r="B47" s="198"/>
      <c r="C47" s="185"/>
      <c r="D47" s="198"/>
      <c r="E47" s="185"/>
      <c r="F47" s="198"/>
      <c r="G47" s="185"/>
      <c r="H47" s="185"/>
      <c r="I47" s="371"/>
      <c r="J47" s="417" t="s">
        <v>1941</v>
      </c>
      <c r="K47" s="418">
        <v>20</v>
      </c>
      <c r="L47" s="387" t="s">
        <v>1931</v>
      </c>
      <c r="M47" s="388" t="s">
        <v>1712</v>
      </c>
      <c r="N47" s="386" t="s">
        <v>43</v>
      </c>
      <c r="O47" s="386">
        <v>2</v>
      </c>
      <c r="P47" s="386">
        <v>3</v>
      </c>
      <c r="Q47" s="386">
        <v>4</v>
      </c>
      <c r="R47" s="386">
        <v>3</v>
      </c>
      <c r="S47" s="389">
        <v>12</v>
      </c>
      <c r="T47" s="390"/>
      <c r="U47" s="390"/>
      <c r="V47" s="390"/>
      <c r="W47" s="390"/>
      <c r="X47" s="391"/>
      <c r="Y47" s="372" t="s">
        <v>51</v>
      </c>
      <c r="Z47" s="155" t="s">
        <v>355</v>
      </c>
      <c r="AA47" s="153" t="s">
        <v>118</v>
      </c>
      <c r="AB47" s="156" t="s">
        <v>1664</v>
      </c>
      <c r="AC47" s="148" t="s">
        <v>36</v>
      </c>
      <c r="AD47" s="155" t="s">
        <v>37</v>
      </c>
      <c r="AE47" s="147" t="s">
        <v>1602</v>
      </c>
      <c r="AF47" s="155"/>
      <c r="AG47" s="149" t="s">
        <v>39</v>
      </c>
      <c r="AH47" s="150" t="s">
        <v>1587</v>
      </c>
      <c r="AI47" s="150" t="s">
        <v>1567</v>
      </c>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row>
    <row r="48" spans="1:92" s="151" customFormat="1" ht="72" customHeight="1" thickBot="1" x14ac:dyDescent="0.25">
      <c r="A48" s="205" t="s">
        <v>142</v>
      </c>
      <c r="B48" s="204">
        <v>30</v>
      </c>
      <c r="C48" s="205" t="s">
        <v>143</v>
      </c>
      <c r="D48" s="204">
        <v>100</v>
      </c>
      <c r="E48" s="205" t="s">
        <v>144</v>
      </c>
      <c r="F48" s="204">
        <v>10</v>
      </c>
      <c r="G48" s="205" t="s">
        <v>145</v>
      </c>
      <c r="H48" s="205" t="s">
        <v>146</v>
      </c>
      <c r="I48" s="403">
        <v>100</v>
      </c>
      <c r="J48" s="404" t="s">
        <v>147</v>
      </c>
      <c r="K48" s="415">
        <v>50</v>
      </c>
      <c r="L48" s="377" t="s">
        <v>2150</v>
      </c>
      <c r="M48" s="378" t="s">
        <v>32</v>
      </c>
      <c r="N48" s="376" t="s">
        <v>43</v>
      </c>
      <c r="O48" s="376">
        <v>0</v>
      </c>
      <c r="P48" s="376">
        <v>1</v>
      </c>
      <c r="Q48" s="376">
        <v>1</v>
      </c>
      <c r="R48" s="376">
        <v>0</v>
      </c>
      <c r="S48" s="379">
        <v>2</v>
      </c>
      <c r="T48" s="380">
        <f>'Anexo 2024'!BJ69</f>
        <v>0</v>
      </c>
      <c r="U48" s="381">
        <f>'Detallado del Gasto 2025-1'!DZ69</f>
        <v>80964862.5</v>
      </c>
      <c r="V48" s="406">
        <v>860000000</v>
      </c>
      <c r="W48" s="406">
        <v>860000000</v>
      </c>
      <c r="X48" s="407">
        <f>SUM(U48:U49)+SUM(T48:T49)</f>
        <v>424176453</v>
      </c>
      <c r="Y48" s="372" t="s">
        <v>34</v>
      </c>
      <c r="Z48" s="147" t="s">
        <v>58</v>
      </c>
      <c r="AA48" s="153" t="s">
        <v>145</v>
      </c>
      <c r="AB48" s="156" t="s">
        <v>34</v>
      </c>
      <c r="AC48" s="148" t="s">
        <v>1605</v>
      </c>
      <c r="AD48" s="155" t="s">
        <v>37</v>
      </c>
      <c r="AE48" s="147" t="s">
        <v>1611</v>
      </c>
      <c r="AF48" s="155"/>
      <c r="AG48" s="149" t="s">
        <v>71</v>
      </c>
      <c r="AH48" s="150" t="s">
        <v>1587</v>
      </c>
      <c r="AI48" s="150" t="s">
        <v>1567</v>
      </c>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row>
    <row r="49" spans="1:92" s="151" customFormat="1" ht="58.9" customHeight="1" thickBot="1" x14ac:dyDescent="0.25">
      <c r="A49" s="205"/>
      <c r="B49" s="204"/>
      <c r="C49" s="205"/>
      <c r="D49" s="204"/>
      <c r="E49" s="205"/>
      <c r="F49" s="204"/>
      <c r="G49" s="205"/>
      <c r="H49" s="205"/>
      <c r="I49" s="403"/>
      <c r="J49" s="412" t="s">
        <v>148</v>
      </c>
      <c r="K49" s="168">
        <v>50</v>
      </c>
      <c r="L49" s="373" t="s">
        <v>149</v>
      </c>
      <c r="M49" s="171" t="s">
        <v>1852</v>
      </c>
      <c r="N49" s="173" t="s">
        <v>43</v>
      </c>
      <c r="O49" s="173">
        <v>1</v>
      </c>
      <c r="P49" s="173">
        <v>1</v>
      </c>
      <c r="Q49" s="173">
        <v>1</v>
      </c>
      <c r="R49" s="173">
        <v>1</v>
      </c>
      <c r="S49" s="174">
        <v>4</v>
      </c>
      <c r="T49" s="402">
        <f>'Anexo 2024'!BJ70</f>
        <v>262246728</v>
      </c>
      <c r="U49" s="265">
        <f>'Detallado del Gasto 2025-1'!DZ70</f>
        <v>80964862.5</v>
      </c>
      <c r="V49" s="177">
        <v>860000000</v>
      </c>
      <c r="W49" s="177">
        <v>860000000</v>
      </c>
      <c r="X49" s="414"/>
      <c r="Y49" s="372" t="s">
        <v>51</v>
      </c>
      <c r="Z49" s="147" t="s">
        <v>58</v>
      </c>
      <c r="AA49" s="153" t="s">
        <v>145</v>
      </c>
      <c r="AB49" s="156" t="s">
        <v>34</v>
      </c>
      <c r="AC49" s="148" t="s">
        <v>1605</v>
      </c>
      <c r="AD49" s="155" t="s">
        <v>37</v>
      </c>
      <c r="AE49" s="147" t="s">
        <v>38</v>
      </c>
      <c r="AF49" s="155"/>
      <c r="AG49" s="149" t="s">
        <v>71</v>
      </c>
      <c r="AH49" s="150" t="s">
        <v>1587</v>
      </c>
      <c r="AI49" s="150" t="s">
        <v>1567</v>
      </c>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row>
    <row r="50" spans="1:92" s="151" customFormat="1" ht="72.75" customHeight="1" thickBot="1" x14ac:dyDescent="0.25">
      <c r="A50" s="205"/>
      <c r="B50" s="204"/>
      <c r="C50" s="205"/>
      <c r="D50" s="204"/>
      <c r="E50" s="205" t="s">
        <v>150</v>
      </c>
      <c r="F50" s="204">
        <v>15</v>
      </c>
      <c r="G50" s="205" t="s">
        <v>145</v>
      </c>
      <c r="H50" s="205" t="s">
        <v>151</v>
      </c>
      <c r="I50" s="403">
        <v>100</v>
      </c>
      <c r="J50" s="404" t="s">
        <v>152</v>
      </c>
      <c r="K50" s="415">
        <v>30</v>
      </c>
      <c r="L50" s="377" t="s">
        <v>153</v>
      </c>
      <c r="M50" s="378" t="s">
        <v>1861</v>
      </c>
      <c r="N50" s="376" t="s">
        <v>43</v>
      </c>
      <c r="O50" s="376">
        <v>1</v>
      </c>
      <c r="P50" s="376">
        <v>1</v>
      </c>
      <c r="Q50" s="376">
        <v>1</v>
      </c>
      <c r="R50" s="376">
        <v>1</v>
      </c>
      <c r="S50" s="379">
        <v>4</v>
      </c>
      <c r="T50" s="380">
        <f>'Anexo 2024'!BJ72</f>
        <v>69005220.666666672</v>
      </c>
      <c r="U50" s="381">
        <f>'Detallado del Gasto 2025-1'!DZ72</f>
        <v>77630256.039999992</v>
      </c>
      <c r="V50" s="406">
        <v>800000000</v>
      </c>
      <c r="W50" s="406">
        <v>800000000</v>
      </c>
      <c r="X50" s="407">
        <f>SUM(U50:U52)+SUM(T50:T52)</f>
        <v>439906430.12</v>
      </c>
      <c r="Y50" s="372" t="s">
        <v>51</v>
      </c>
      <c r="Z50" s="147" t="s">
        <v>154</v>
      </c>
      <c r="AA50" s="153" t="s">
        <v>145</v>
      </c>
      <c r="AB50" s="156" t="s">
        <v>34</v>
      </c>
      <c r="AC50" s="148" t="s">
        <v>1605</v>
      </c>
      <c r="AD50" s="155" t="s">
        <v>37</v>
      </c>
      <c r="AE50" s="147" t="s">
        <v>1611</v>
      </c>
      <c r="AF50" s="155"/>
      <c r="AG50" s="149" t="s">
        <v>71</v>
      </c>
      <c r="AH50" s="150" t="s">
        <v>1607</v>
      </c>
      <c r="AI50" s="150" t="s">
        <v>1575</v>
      </c>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row>
    <row r="51" spans="1:92" s="151" customFormat="1" ht="59.25" customHeight="1" thickBot="1" x14ac:dyDescent="0.25">
      <c r="A51" s="205"/>
      <c r="B51" s="204"/>
      <c r="C51" s="205"/>
      <c r="D51" s="204"/>
      <c r="E51" s="205"/>
      <c r="F51" s="204"/>
      <c r="G51" s="205"/>
      <c r="H51" s="205"/>
      <c r="I51" s="403"/>
      <c r="J51" s="408" t="s">
        <v>1910</v>
      </c>
      <c r="K51" s="167">
        <v>30</v>
      </c>
      <c r="L51" s="152" t="s">
        <v>156</v>
      </c>
      <c r="M51" s="148" t="s">
        <v>32</v>
      </c>
      <c r="N51" s="153" t="s">
        <v>43</v>
      </c>
      <c r="O51" s="153">
        <v>1</v>
      </c>
      <c r="P51" s="153">
        <v>1</v>
      </c>
      <c r="Q51" s="153">
        <v>1</v>
      </c>
      <c r="R51" s="153">
        <v>1</v>
      </c>
      <c r="S51" s="154">
        <v>4</v>
      </c>
      <c r="T51" s="380">
        <f>'Anexo 2024'!BJ73</f>
        <v>69005220.666666672</v>
      </c>
      <c r="U51" s="262">
        <f>'Detallado del Gasto 2025-1'!DZ73</f>
        <v>77630256.039999992</v>
      </c>
      <c r="V51" s="181"/>
      <c r="W51" s="181"/>
      <c r="X51" s="409"/>
      <c r="Y51" s="372" t="s">
        <v>51</v>
      </c>
      <c r="Z51" s="147" t="s">
        <v>324</v>
      </c>
      <c r="AA51" s="153" t="s">
        <v>102</v>
      </c>
      <c r="AB51" s="156" t="s">
        <v>34</v>
      </c>
      <c r="AC51" s="148" t="s">
        <v>1605</v>
      </c>
      <c r="AD51" s="155" t="s">
        <v>37</v>
      </c>
      <c r="AE51" s="147" t="s">
        <v>1643</v>
      </c>
      <c r="AF51" s="155"/>
      <c r="AG51" s="149" t="s">
        <v>71</v>
      </c>
      <c r="AH51" s="150" t="s">
        <v>1607</v>
      </c>
      <c r="AI51" s="150" t="s">
        <v>1939</v>
      </c>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row>
    <row r="52" spans="1:92" s="151" customFormat="1" ht="124.15" customHeight="1" thickBot="1" x14ac:dyDescent="0.25">
      <c r="A52" s="205"/>
      <c r="B52" s="204"/>
      <c r="C52" s="205"/>
      <c r="D52" s="204"/>
      <c r="E52" s="205"/>
      <c r="F52" s="204"/>
      <c r="G52" s="205"/>
      <c r="H52" s="205"/>
      <c r="I52" s="403"/>
      <c r="J52" s="412" t="s">
        <v>1895</v>
      </c>
      <c r="K52" s="168">
        <v>40</v>
      </c>
      <c r="L52" s="373" t="s">
        <v>1932</v>
      </c>
      <c r="M52" s="171" t="s">
        <v>32</v>
      </c>
      <c r="N52" s="173" t="s">
        <v>43</v>
      </c>
      <c r="O52" s="173">
        <v>1</v>
      </c>
      <c r="P52" s="173">
        <v>1</v>
      </c>
      <c r="Q52" s="173">
        <v>1</v>
      </c>
      <c r="R52" s="173">
        <v>0</v>
      </c>
      <c r="S52" s="174">
        <v>3</v>
      </c>
      <c r="T52" s="402">
        <f>'Anexo 2024'!BJ74</f>
        <v>69005220.666666672</v>
      </c>
      <c r="U52" s="265">
        <f>'Detallado del Gasto 2025-1'!DZ74</f>
        <v>77630256.039999992</v>
      </c>
      <c r="V52" s="177">
        <v>800000000</v>
      </c>
      <c r="W52" s="177">
        <v>800000000</v>
      </c>
      <c r="X52" s="414"/>
      <c r="Y52" s="372" t="s">
        <v>51</v>
      </c>
      <c r="Z52" s="147" t="s">
        <v>157</v>
      </c>
      <c r="AA52" s="153" t="s">
        <v>145</v>
      </c>
      <c r="AB52" s="156" t="s">
        <v>34</v>
      </c>
      <c r="AC52" s="148" t="s">
        <v>1605</v>
      </c>
      <c r="AD52" s="155" t="s">
        <v>37</v>
      </c>
      <c r="AE52" s="147" t="s">
        <v>1643</v>
      </c>
      <c r="AF52" s="156"/>
      <c r="AG52" s="149" t="s">
        <v>39</v>
      </c>
      <c r="AH52" s="150" t="s">
        <v>1580</v>
      </c>
      <c r="AI52" s="150" t="s">
        <v>1567</v>
      </c>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row>
    <row r="53" spans="1:92" s="151" customFormat="1" ht="41.45" customHeight="1" thickBot="1" x14ac:dyDescent="0.25">
      <c r="A53" s="205"/>
      <c r="B53" s="204"/>
      <c r="C53" s="205"/>
      <c r="D53" s="204"/>
      <c r="E53" s="205" t="s">
        <v>158</v>
      </c>
      <c r="F53" s="204">
        <v>15</v>
      </c>
      <c r="G53" s="205" t="s">
        <v>102</v>
      </c>
      <c r="H53" s="205" t="s">
        <v>159</v>
      </c>
      <c r="I53" s="403">
        <v>100</v>
      </c>
      <c r="J53" s="404" t="s">
        <v>160</v>
      </c>
      <c r="K53" s="415">
        <v>13</v>
      </c>
      <c r="L53" s="377" t="s">
        <v>2153</v>
      </c>
      <c r="M53" s="378" t="s">
        <v>57</v>
      </c>
      <c r="N53" s="376" t="s">
        <v>43</v>
      </c>
      <c r="O53" s="376">
        <v>0</v>
      </c>
      <c r="P53" s="376">
        <v>1</v>
      </c>
      <c r="Q53" s="376">
        <v>1</v>
      </c>
      <c r="R53" s="376">
        <v>1</v>
      </c>
      <c r="S53" s="379">
        <v>3</v>
      </c>
      <c r="T53" s="419">
        <f>'Anexo 2024'!BJ76</f>
        <v>221334668.43285716</v>
      </c>
      <c r="U53" s="420">
        <f>'Detallado del Gasto 2025-1'!DZ76</f>
        <v>26033621.285714287</v>
      </c>
      <c r="V53" s="421">
        <v>5735000000</v>
      </c>
      <c r="W53" s="421">
        <v>785000000</v>
      </c>
      <c r="X53" s="407">
        <f>SUM(U53:U59)+SUM(T53:T59)</f>
        <v>1731578028.0299997</v>
      </c>
      <c r="Y53" s="372" t="s">
        <v>34</v>
      </c>
      <c r="Z53" s="147" t="s">
        <v>1125</v>
      </c>
      <c r="AA53" s="148" t="s">
        <v>102</v>
      </c>
      <c r="AB53" s="156" t="s">
        <v>34</v>
      </c>
      <c r="AC53" s="148" t="s">
        <v>1605</v>
      </c>
      <c r="AD53" s="155" t="s">
        <v>37</v>
      </c>
      <c r="AE53" s="147" t="s">
        <v>1643</v>
      </c>
      <c r="AF53" s="156"/>
      <c r="AG53" s="149" t="s">
        <v>39</v>
      </c>
      <c r="AH53" s="150" t="s">
        <v>1587</v>
      </c>
      <c r="AI53" s="150" t="s">
        <v>1567</v>
      </c>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row>
    <row r="54" spans="1:92" s="151" customFormat="1" ht="41.45" customHeight="1" thickBot="1" x14ac:dyDescent="0.25">
      <c r="A54" s="205"/>
      <c r="B54" s="204"/>
      <c r="C54" s="205"/>
      <c r="D54" s="204"/>
      <c r="E54" s="205"/>
      <c r="F54" s="204"/>
      <c r="G54" s="205"/>
      <c r="H54" s="205"/>
      <c r="I54" s="403"/>
      <c r="J54" s="408" t="s">
        <v>161</v>
      </c>
      <c r="K54" s="167">
        <v>13</v>
      </c>
      <c r="L54" s="152" t="s">
        <v>162</v>
      </c>
      <c r="M54" s="148" t="s">
        <v>57</v>
      </c>
      <c r="N54" s="153" t="s">
        <v>110</v>
      </c>
      <c r="O54" s="153">
        <v>15</v>
      </c>
      <c r="P54" s="153">
        <v>25</v>
      </c>
      <c r="Q54" s="153">
        <v>30</v>
      </c>
      <c r="R54" s="153">
        <v>30</v>
      </c>
      <c r="S54" s="154">
        <v>100</v>
      </c>
      <c r="T54" s="419">
        <f>'Anexo 2024'!BJ77</f>
        <v>221334668.43285716</v>
      </c>
      <c r="U54" s="176">
        <f>'Detallado del Gasto 2025-1'!DZ77</f>
        <v>26033621.285714287</v>
      </c>
      <c r="V54" s="195">
        <v>5735000000</v>
      </c>
      <c r="W54" s="195">
        <v>785000000</v>
      </c>
      <c r="X54" s="409"/>
      <c r="Y54" s="372" t="s">
        <v>51</v>
      </c>
      <c r="Z54" s="147" t="s">
        <v>1190</v>
      </c>
      <c r="AA54" s="148" t="s">
        <v>102</v>
      </c>
      <c r="AB54" s="156" t="s">
        <v>34</v>
      </c>
      <c r="AC54" s="148" t="s">
        <v>1605</v>
      </c>
      <c r="AD54" s="155" t="s">
        <v>37</v>
      </c>
      <c r="AE54" s="147" t="s">
        <v>1643</v>
      </c>
      <c r="AF54" s="156"/>
      <c r="AG54" s="149" t="s">
        <v>39</v>
      </c>
      <c r="AH54" s="150" t="s">
        <v>1587</v>
      </c>
      <c r="AI54" s="150" t="s">
        <v>1567</v>
      </c>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row>
    <row r="55" spans="1:92" s="151" customFormat="1" ht="41.45" customHeight="1" thickBot="1" x14ac:dyDescent="0.25">
      <c r="A55" s="205"/>
      <c r="B55" s="204"/>
      <c r="C55" s="205"/>
      <c r="D55" s="204"/>
      <c r="E55" s="205"/>
      <c r="F55" s="204"/>
      <c r="G55" s="205"/>
      <c r="H55" s="205"/>
      <c r="I55" s="403"/>
      <c r="J55" s="408" t="s">
        <v>163</v>
      </c>
      <c r="K55" s="167">
        <v>13</v>
      </c>
      <c r="L55" s="152" t="s">
        <v>164</v>
      </c>
      <c r="M55" s="148" t="s">
        <v>32</v>
      </c>
      <c r="N55" s="153" t="s">
        <v>110</v>
      </c>
      <c r="O55" s="153">
        <v>15</v>
      </c>
      <c r="P55" s="153">
        <v>70</v>
      </c>
      <c r="Q55" s="153">
        <v>90</v>
      </c>
      <c r="R55" s="153">
        <v>100</v>
      </c>
      <c r="S55" s="154">
        <v>100</v>
      </c>
      <c r="T55" s="419">
        <f>'Anexo 2024'!BJ78</f>
        <v>221334668.43285716</v>
      </c>
      <c r="U55" s="176">
        <f>'Detallado del Gasto 2025-1'!DZ78</f>
        <v>26033621.285714287</v>
      </c>
      <c r="V55" s="195">
        <v>5735000000</v>
      </c>
      <c r="W55" s="195">
        <v>785000000</v>
      </c>
      <c r="X55" s="409"/>
      <c r="Y55" s="372" t="s">
        <v>51</v>
      </c>
      <c r="Z55" s="147" t="s">
        <v>1193</v>
      </c>
      <c r="AA55" s="148" t="s">
        <v>102</v>
      </c>
      <c r="AB55" s="156" t="s">
        <v>34</v>
      </c>
      <c r="AC55" s="148" t="s">
        <v>1605</v>
      </c>
      <c r="AD55" s="155" t="s">
        <v>37</v>
      </c>
      <c r="AE55" s="147" t="s">
        <v>1643</v>
      </c>
      <c r="AF55" s="156"/>
      <c r="AG55" s="149" t="s">
        <v>71</v>
      </c>
      <c r="AH55" s="150" t="s">
        <v>59</v>
      </c>
      <c r="AI55" s="150" t="s">
        <v>1567</v>
      </c>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row>
    <row r="56" spans="1:92" s="151" customFormat="1" ht="41.45" customHeight="1" thickBot="1" x14ac:dyDescent="0.25">
      <c r="A56" s="205"/>
      <c r="B56" s="204"/>
      <c r="C56" s="205"/>
      <c r="D56" s="204"/>
      <c r="E56" s="205"/>
      <c r="F56" s="204"/>
      <c r="G56" s="205"/>
      <c r="H56" s="205"/>
      <c r="I56" s="403"/>
      <c r="J56" s="408" t="s">
        <v>165</v>
      </c>
      <c r="K56" s="167">
        <v>13</v>
      </c>
      <c r="L56" s="152" t="s">
        <v>166</v>
      </c>
      <c r="M56" s="148" t="s">
        <v>32</v>
      </c>
      <c r="N56" s="153" t="s">
        <v>110</v>
      </c>
      <c r="O56" s="153">
        <v>15</v>
      </c>
      <c r="P56" s="153">
        <v>70</v>
      </c>
      <c r="Q56" s="153">
        <v>90</v>
      </c>
      <c r="R56" s="153">
        <v>100</v>
      </c>
      <c r="S56" s="154">
        <v>100</v>
      </c>
      <c r="T56" s="419">
        <f>'Anexo 2024'!BJ79</f>
        <v>221334668.43285716</v>
      </c>
      <c r="U56" s="176">
        <f>'Detallado del Gasto 2025-1'!DZ79</f>
        <v>26033621.285714287</v>
      </c>
      <c r="V56" s="195">
        <v>5735000000</v>
      </c>
      <c r="W56" s="195">
        <v>785000000</v>
      </c>
      <c r="X56" s="409"/>
      <c r="Y56" s="372" t="s">
        <v>51</v>
      </c>
      <c r="Z56" s="147" t="s">
        <v>1169</v>
      </c>
      <c r="AA56" s="148" t="s">
        <v>102</v>
      </c>
      <c r="AB56" s="156" t="s">
        <v>34</v>
      </c>
      <c r="AC56" s="148" t="s">
        <v>1605</v>
      </c>
      <c r="AD56" s="155" t="s">
        <v>37</v>
      </c>
      <c r="AE56" s="147" t="s">
        <v>1643</v>
      </c>
      <c r="AF56" s="156"/>
      <c r="AG56" s="149" t="s">
        <v>39</v>
      </c>
      <c r="AH56" s="150" t="s">
        <v>59</v>
      </c>
      <c r="AI56" s="150" t="s">
        <v>1567</v>
      </c>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row>
    <row r="57" spans="1:92" s="151" customFormat="1" ht="100.5" thickBot="1" x14ac:dyDescent="0.25">
      <c r="A57" s="205"/>
      <c r="B57" s="204"/>
      <c r="C57" s="205"/>
      <c r="D57" s="204"/>
      <c r="E57" s="205"/>
      <c r="F57" s="204"/>
      <c r="G57" s="205"/>
      <c r="H57" s="205"/>
      <c r="I57" s="403"/>
      <c r="J57" s="408" t="s">
        <v>167</v>
      </c>
      <c r="K57" s="167">
        <v>13</v>
      </c>
      <c r="L57" s="152" t="s">
        <v>168</v>
      </c>
      <c r="M57" s="148" t="s">
        <v>32</v>
      </c>
      <c r="N57" s="153" t="s">
        <v>43</v>
      </c>
      <c r="O57" s="153">
        <v>1</v>
      </c>
      <c r="P57" s="153">
        <v>1</v>
      </c>
      <c r="Q57" s="153">
        <v>1</v>
      </c>
      <c r="R57" s="153">
        <v>1</v>
      </c>
      <c r="S57" s="154">
        <v>4</v>
      </c>
      <c r="T57" s="419">
        <f>'Anexo 2024'!BJ80</f>
        <v>221334668.43285716</v>
      </c>
      <c r="U57" s="176">
        <f>'Detallado del Gasto 2025-1'!DZ80</f>
        <v>26033621.285714287</v>
      </c>
      <c r="V57" s="195">
        <v>5735000000</v>
      </c>
      <c r="W57" s="195">
        <v>785000000</v>
      </c>
      <c r="X57" s="409"/>
      <c r="Y57" s="372" t="s">
        <v>51</v>
      </c>
      <c r="Z57" s="147" t="s">
        <v>1190</v>
      </c>
      <c r="AA57" s="148" t="s">
        <v>102</v>
      </c>
      <c r="AB57" s="156" t="s">
        <v>34</v>
      </c>
      <c r="AC57" s="148" t="s">
        <v>1605</v>
      </c>
      <c r="AD57" s="155" t="s">
        <v>37</v>
      </c>
      <c r="AE57" s="147" t="s">
        <v>38</v>
      </c>
      <c r="AF57" s="156"/>
      <c r="AG57" s="149" t="s">
        <v>39</v>
      </c>
      <c r="AH57" s="150" t="s">
        <v>59</v>
      </c>
      <c r="AI57" s="150" t="s">
        <v>1567</v>
      </c>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row>
    <row r="58" spans="1:92" s="151" customFormat="1" ht="40.15" customHeight="1" thickBot="1" x14ac:dyDescent="0.25">
      <c r="A58" s="205"/>
      <c r="B58" s="204"/>
      <c r="C58" s="205"/>
      <c r="D58" s="204"/>
      <c r="E58" s="205"/>
      <c r="F58" s="204"/>
      <c r="G58" s="205"/>
      <c r="H58" s="205"/>
      <c r="I58" s="403"/>
      <c r="J58" s="408" t="s">
        <v>169</v>
      </c>
      <c r="K58" s="167">
        <v>15</v>
      </c>
      <c r="L58" s="152" t="s">
        <v>166</v>
      </c>
      <c r="M58" s="148" t="s">
        <v>32</v>
      </c>
      <c r="N58" s="153" t="s">
        <v>110</v>
      </c>
      <c r="O58" s="153">
        <v>15</v>
      </c>
      <c r="P58" s="153">
        <v>70</v>
      </c>
      <c r="Q58" s="153">
        <v>75</v>
      </c>
      <c r="R58" s="153">
        <v>80</v>
      </c>
      <c r="S58" s="154">
        <v>100</v>
      </c>
      <c r="T58" s="419">
        <f>'Anexo 2024'!BJ81</f>
        <v>221334668.43285716</v>
      </c>
      <c r="U58" s="176">
        <f>'Detallado del Gasto 2025-1'!DZ81</f>
        <v>26033621.285714287</v>
      </c>
      <c r="V58" s="195">
        <v>5735000000</v>
      </c>
      <c r="W58" s="195">
        <v>785000000</v>
      </c>
      <c r="X58" s="409"/>
      <c r="Y58" s="372" t="s">
        <v>1937</v>
      </c>
      <c r="Z58" s="147" t="s">
        <v>34</v>
      </c>
      <c r="AA58" s="148" t="s">
        <v>102</v>
      </c>
      <c r="AB58" s="156" t="s">
        <v>34</v>
      </c>
      <c r="AC58" s="148" t="s">
        <v>1605</v>
      </c>
      <c r="AD58" s="155" t="s">
        <v>37</v>
      </c>
      <c r="AE58" s="147" t="s">
        <v>1643</v>
      </c>
      <c r="AF58" s="156"/>
      <c r="AG58" s="149" t="s">
        <v>39</v>
      </c>
      <c r="AH58" s="150" t="s">
        <v>59</v>
      </c>
      <c r="AI58" s="150" t="s">
        <v>1581</v>
      </c>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row>
    <row r="59" spans="1:92" s="151" customFormat="1" ht="40.15" customHeight="1" thickBot="1" x14ac:dyDescent="0.25">
      <c r="A59" s="205"/>
      <c r="B59" s="204"/>
      <c r="C59" s="205"/>
      <c r="D59" s="204"/>
      <c r="E59" s="205"/>
      <c r="F59" s="204"/>
      <c r="G59" s="205"/>
      <c r="H59" s="205"/>
      <c r="I59" s="403"/>
      <c r="J59" s="412" t="s">
        <v>170</v>
      </c>
      <c r="K59" s="168">
        <v>20</v>
      </c>
      <c r="L59" s="373" t="s">
        <v>171</v>
      </c>
      <c r="M59" s="171" t="s">
        <v>57</v>
      </c>
      <c r="N59" s="173" t="s">
        <v>110</v>
      </c>
      <c r="O59" s="173">
        <v>15</v>
      </c>
      <c r="P59" s="173">
        <v>25</v>
      </c>
      <c r="Q59" s="173">
        <v>30</v>
      </c>
      <c r="R59" s="173">
        <v>30</v>
      </c>
      <c r="S59" s="174"/>
      <c r="T59" s="422">
        <f>'Anexo 2024'!BJ82</f>
        <v>221334668.43285716</v>
      </c>
      <c r="U59" s="423">
        <f>'Detallado del Gasto 2025-1'!DZ82</f>
        <v>26033621.285714287</v>
      </c>
      <c r="V59" s="424"/>
      <c r="W59" s="424"/>
      <c r="X59" s="414"/>
      <c r="Y59" s="372" t="s">
        <v>51</v>
      </c>
      <c r="Z59" s="147" t="s">
        <v>1181</v>
      </c>
      <c r="AA59" s="148" t="s">
        <v>102</v>
      </c>
      <c r="AB59" s="156" t="s">
        <v>34</v>
      </c>
      <c r="AC59" s="148" t="s">
        <v>1605</v>
      </c>
      <c r="AD59" s="155" t="s">
        <v>37</v>
      </c>
      <c r="AE59" s="147" t="s">
        <v>1643</v>
      </c>
      <c r="AF59" s="156"/>
      <c r="AG59" s="149" t="s">
        <v>71</v>
      </c>
      <c r="AH59" s="150" t="s">
        <v>59</v>
      </c>
      <c r="AI59" s="150" t="s">
        <v>1581</v>
      </c>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row>
    <row r="60" spans="1:92" s="151" customFormat="1" ht="39.6" customHeight="1" thickBot="1" x14ac:dyDescent="0.25">
      <c r="A60" s="205"/>
      <c r="B60" s="204"/>
      <c r="C60" s="205"/>
      <c r="D60" s="204"/>
      <c r="E60" s="205" t="s">
        <v>172</v>
      </c>
      <c r="F60" s="204">
        <v>20</v>
      </c>
      <c r="G60" s="205" t="s">
        <v>173</v>
      </c>
      <c r="H60" s="205" t="s">
        <v>174</v>
      </c>
      <c r="I60" s="403">
        <v>100</v>
      </c>
      <c r="J60" s="404" t="s">
        <v>175</v>
      </c>
      <c r="K60" s="415">
        <v>10</v>
      </c>
      <c r="L60" s="377" t="s">
        <v>176</v>
      </c>
      <c r="M60" s="378" t="s">
        <v>177</v>
      </c>
      <c r="N60" s="376" t="s">
        <v>43</v>
      </c>
      <c r="O60" s="376">
        <v>0</v>
      </c>
      <c r="P60" s="376">
        <v>1</v>
      </c>
      <c r="Q60" s="376">
        <v>0</v>
      </c>
      <c r="R60" s="376">
        <v>0</v>
      </c>
      <c r="S60" s="379">
        <v>1</v>
      </c>
      <c r="T60" s="425">
        <f>'Anexo 2024'!BJ84</f>
        <v>0</v>
      </c>
      <c r="U60" s="426">
        <f>'Detallado del Gasto 2025-1'!DZ84</f>
        <v>43658029.612500004</v>
      </c>
      <c r="V60" s="427">
        <v>3093000000</v>
      </c>
      <c r="W60" s="427">
        <v>4193000000</v>
      </c>
      <c r="X60" s="407">
        <f>SUM(U60:U72)+SUM(T60:T72)</f>
        <v>8210183385.4750004</v>
      </c>
      <c r="Y60" s="372" t="s">
        <v>34</v>
      </c>
      <c r="Z60" s="147" t="s">
        <v>34</v>
      </c>
      <c r="AA60" s="153" t="s">
        <v>173</v>
      </c>
      <c r="AB60" s="156" t="s">
        <v>34</v>
      </c>
      <c r="AC60" s="148" t="s">
        <v>1605</v>
      </c>
      <c r="AD60" s="155" t="s">
        <v>37</v>
      </c>
      <c r="AE60" s="147" t="s">
        <v>1602</v>
      </c>
      <c r="AF60" s="156"/>
      <c r="AG60" s="149" t="s">
        <v>71</v>
      </c>
      <c r="AH60" s="150" t="s">
        <v>59</v>
      </c>
      <c r="AI60" s="150" t="s">
        <v>1581</v>
      </c>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row>
    <row r="61" spans="1:92" s="151" customFormat="1" ht="35.25" customHeight="1" thickBot="1" x14ac:dyDescent="0.25">
      <c r="A61" s="205"/>
      <c r="B61" s="204"/>
      <c r="C61" s="205"/>
      <c r="D61" s="204"/>
      <c r="E61" s="205"/>
      <c r="F61" s="204"/>
      <c r="G61" s="205"/>
      <c r="H61" s="205"/>
      <c r="I61" s="403"/>
      <c r="J61" s="408" t="s">
        <v>178</v>
      </c>
      <c r="K61" s="167">
        <v>10</v>
      </c>
      <c r="L61" s="152" t="s">
        <v>179</v>
      </c>
      <c r="M61" s="148" t="s">
        <v>180</v>
      </c>
      <c r="N61" s="153" t="s">
        <v>43</v>
      </c>
      <c r="O61" s="153">
        <v>0</v>
      </c>
      <c r="P61" s="153">
        <v>1</v>
      </c>
      <c r="Q61" s="153">
        <v>0</v>
      </c>
      <c r="R61" s="153">
        <v>0</v>
      </c>
      <c r="S61" s="154">
        <v>1</v>
      </c>
      <c r="T61" s="425">
        <f>'Anexo 2024'!BJ85</f>
        <v>0</v>
      </c>
      <c r="U61" s="266">
        <f>'Detallado del Gasto 2025-1'!DZ85</f>
        <v>43658029.612500004</v>
      </c>
      <c r="V61" s="203">
        <v>3093000000</v>
      </c>
      <c r="W61" s="203">
        <v>4193000000</v>
      </c>
      <c r="X61" s="409"/>
      <c r="Y61" s="372" t="s">
        <v>34</v>
      </c>
      <c r="Z61" s="147" t="s">
        <v>774</v>
      </c>
      <c r="AA61" s="153" t="s">
        <v>173</v>
      </c>
      <c r="AB61" s="156" t="s">
        <v>34</v>
      </c>
      <c r="AC61" s="148" t="s">
        <v>1605</v>
      </c>
      <c r="AD61" s="155" t="s">
        <v>37</v>
      </c>
      <c r="AE61" s="147" t="s">
        <v>1573</v>
      </c>
      <c r="AF61" s="156"/>
      <c r="AG61" s="149" t="s">
        <v>71</v>
      </c>
      <c r="AH61" s="150" t="s">
        <v>59</v>
      </c>
      <c r="AI61" s="150" t="s">
        <v>47</v>
      </c>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row>
    <row r="62" spans="1:92" s="151" customFormat="1" ht="38.25" customHeight="1" thickBot="1" x14ac:dyDescent="0.25">
      <c r="A62" s="205"/>
      <c r="B62" s="204"/>
      <c r="C62" s="205"/>
      <c r="D62" s="204"/>
      <c r="E62" s="205"/>
      <c r="F62" s="204"/>
      <c r="G62" s="205"/>
      <c r="H62" s="205"/>
      <c r="I62" s="403"/>
      <c r="J62" s="408" t="s">
        <v>181</v>
      </c>
      <c r="K62" s="167">
        <v>10</v>
      </c>
      <c r="L62" s="152" t="s">
        <v>179</v>
      </c>
      <c r="M62" s="148" t="s">
        <v>180</v>
      </c>
      <c r="N62" s="153" t="s">
        <v>43</v>
      </c>
      <c r="O62" s="153">
        <v>0</v>
      </c>
      <c r="P62" s="153">
        <v>0</v>
      </c>
      <c r="Q62" s="153">
        <v>1</v>
      </c>
      <c r="R62" s="153">
        <v>0</v>
      </c>
      <c r="S62" s="154">
        <v>1</v>
      </c>
      <c r="T62" s="425">
        <f>'Anexo 2024'!BJ86</f>
        <v>0</v>
      </c>
      <c r="U62" s="266">
        <f>'Detallado del Gasto 2025-1'!DZ86</f>
        <v>0</v>
      </c>
      <c r="V62" s="203">
        <v>3093000000</v>
      </c>
      <c r="W62" s="203">
        <v>4193000000</v>
      </c>
      <c r="X62" s="409"/>
      <c r="Y62" s="372" t="s">
        <v>34</v>
      </c>
      <c r="Z62" s="147" t="s">
        <v>774</v>
      </c>
      <c r="AA62" s="153" t="s">
        <v>173</v>
      </c>
      <c r="AB62" s="156" t="s">
        <v>34</v>
      </c>
      <c r="AC62" s="148" t="s">
        <v>1605</v>
      </c>
      <c r="AD62" s="155" t="s">
        <v>37</v>
      </c>
      <c r="AE62" s="147" t="s">
        <v>1591</v>
      </c>
      <c r="AF62" s="156"/>
      <c r="AG62" s="149" t="s">
        <v>71</v>
      </c>
      <c r="AH62" s="150" t="s">
        <v>59</v>
      </c>
      <c r="AI62" s="150" t="s">
        <v>47</v>
      </c>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row>
    <row r="63" spans="1:92" s="151" customFormat="1" ht="45" customHeight="1" thickBot="1" x14ac:dyDescent="0.25">
      <c r="A63" s="205"/>
      <c r="B63" s="204"/>
      <c r="C63" s="205"/>
      <c r="D63" s="204"/>
      <c r="E63" s="205"/>
      <c r="F63" s="204"/>
      <c r="G63" s="205"/>
      <c r="H63" s="205"/>
      <c r="I63" s="403"/>
      <c r="J63" s="408" t="s">
        <v>182</v>
      </c>
      <c r="K63" s="167">
        <v>10</v>
      </c>
      <c r="L63" s="152" t="s">
        <v>156</v>
      </c>
      <c r="M63" s="148" t="s">
        <v>180</v>
      </c>
      <c r="N63" s="153" t="s">
        <v>43</v>
      </c>
      <c r="O63" s="153">
        <v>0</v>
      </c>
      <c r="P63" s="153">
        <v>0</v>
      </c>
      <c r="Q63" s="153">
        <v>0</v>
      </c>
      <c r="R63" s="153">
        <v>1</v>
      </c>
      <c r="S63" s="154">
        <v>1</v>
      </c>
      <c r="T63" s="425">
        <f>'Anexo 2024'!BJ87</f>
        <v>0</v>
      </c>
      <c r="U63" s="266">
        <f>'Detallado del Gasto 2025-1'!DZ87</f>
        <v>0</v>
      </c>
      <c r="V63" s="203">
        <v>3093000000</v>
      </c>
      <c r="W63" s="203">
        <v>4193000000</v>
      </c>
      <c r="X63" s="409"/>
      <c r="Y63" s="372" t="s">
        <v>34</v>
      </c>
      <c r="Z63" s="147" t="s">
        <v>774</v>
      </c>
      <c r="AA63" s="153" t="s">
        <v>173</v>
      </c>
      <c r="AB63" s="156" t="s">
        <v>34</v>
      </c>
      <c r="AC63" s="148" t="s">
        <v>1605</v>
      </c>
      <c r="AD63" s="155" t="s">
        <v>37</v>
      </c>
      <c r="AE63" s="147" t="s">
        <v>1591</v>
      </c>
      <c r="AF63" s="156"/>
      <c r="AG63" s="149" t="s">
        <v>71</v>
      </c>
      <c r="AH63" s="150" t="s">
        <v>59</v>
      </c>
      <c r="AI63" s="150" t="s">
        <v>47</v>
      </c>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row>
    <row r="64" spans="1:92" s="151" customFormat="1" ht="42" customHeight="1" thickBot="1" x14ac:dyDescent="0.25">
      <c r="A64" s="205"/>
      <c r="B64" s="204"/>
      <c r="C64" s="205"/>
      <c r="D64" s="204"/>
      <c r="E64" s="205"/>
      <c r="F64" s="204"/>
      <c r="G64" s="205"/>
      <c r="H64" s="205"/>
      <c r="I64" s="403"/>
      <c r="J64" s="408" t="s">
        <v>183</v>
      </c>
      <c r="K64" s="167">
        <v>10</v>
      </c>
      <c r="L64" s="152" t="s">
        <v>184</v>
      </c>
      <c r="M64" s="148" t="s">
        <v>57</v>
      </c>
      <c r="N64" s="153" t="s">
        <v>43</v>
      </c>
      <c r="O64" s="153">
        <v>1</v>
      </c>
      <c r="P64" s="153">
        <v>1</v>
      </c>
      <c r="Q64" s="153">
        <v>1</v>
      </c>
      <c r="R64" s="153">
        <v>1</v>
      </c>
      <c r="S64" s="154">
        <v>4</v>
      </c>
      <c r="T64" s="425">
        <f>'Anexo 2024'!BJ88</f>
        <v>214457133.24600002</v>
      </c>
      <c r="U64" s="266">
        <f>'Detallado del Gasto 2025-1'!DZ88</f>
        <v>43658029.612500004</v>
      </c>
      <c r="V64" s="203">
        <v>3093000000</v>
      </c>
      <c r="W64" s="203">
        <v>4193000000</v>
      </c>
      <c r="X64" s="409"/>
      <c r="Y64" s="372" t="s">
        <v>51</v>
      </c>
      <c r="Z64" s="147" t="s">
        <v>801</v>
      </c>
      <c r="AA64" s="153" t="s">
        <v>173</v>
      </c>
      <c r="AB64" s="156" t="s">
        <v>34</v>
      </c>
      <c r="AC64" s="148" t="s">
        <v>1605</v>
      </c>
      <c r="AD64" s="155" t="s">
        <v>37</v>
      </c>
      <c r="AE64" s="147" t="s">
        <v>1643</v>
      </c>
      <c r="AF64" s="156"/>
      <c r="AG64" s="149" t="s">
        <v>39</v>
      </c>
      <c r="AH64" s="150" t="s">
        <v>1607</v>
      </c>
      <c r="AI64" s="150" t="s">
        <v>1581</v>
      </c>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row>
    <row r="65" spans="1:92" s="151" customFormat="1" ht="37.5" customHeight="1" thickBot="1" x14ac:dyDescent="0.25">
      <c r="A65" s="205"/>
      <c r="B65" s="204"/>
      <c r="C65" s="205"/>
      <c r="D65" s="204"/>
      <c r="E65" s="205"/>
      <c r="F65" s="204"/>
      <c r="G65" s="205"/>
      <c r="H65" s="205"/>
      <c r="I65" s="403"/>
      <c r="J65" s="408" t="s">
        <v>185</v>
      </c>
      <c r="K65" s="167">
        <v>10</v>
      </c>
      <c r="L65" s="152" t="s">
        <v>2159</v>
      </c>
      <c r="M65" s="148" t="s">
        <v>106</v>
      </c>
      <c r="N65" s="153" t="s">
        <v>43</v>
      </c>
      <c r="O65" s="153">
        <v>0</v>
      </c>
      <c r="P65" s="153">
        <v>1</v>
      </c>
      <c r="Q65" s="153">
        <v>1</v>
      </c>
      <c r="R65" s="153">
        <v>1</v>
      </c>
      <c r="S65" s="154">
        <v>3</v>
      </c>
      <c r="T65" s="425">
        <f>'Anexo 2024'!BJ89</f>
        <v>0</v>
      </c>
      <c r="U65" s="266">
        <f>'Detallado del Gasto 2025-1'!DZ89</f>
        <v>43658029.612500004</v>
      </c>
      <c r="V65" s="203">
        <v>3093000000</v>
      </c>
      <c r="W65" s="203">
        <v>4193000000</v>
      </c>
      <c r="X65" s="409"/>
      <c r="Y65" s="372" t="s">
        <v>34</v>
      </c>
      <c r="Z65" s="147" t="s">
        <v>801</v>
      </c>
      <c r="AA65" s="153" t="s">
        <v>173</v>
      </c>
      <c r="AB65" s="156" t="s">
        <v>34</v>
      </c>
      <c r="AC65" s="148" t="s">
        <v>1605</v>
      </c>
      <c r="AD65" s="155" t="s">
        <v>37</v>
      </c>
      <c r="AE65" s="147" t="s">
        <v>1643</v>
      </c>
      <c r="AF65" s="156"/>
      <c r="AG65" s="149" t="s">
        <v>71</v>
      </c>
      <c r="AH65" s="150" t="s">
        <v>1607</v>
      </c>
      <c r="AI65" s="150" t="s">
        <v>1575</v>
      </c>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row>
    <row r="66" spans="1:92" s="151" customFormat="1" ht="41.45" customHeight="1" thickBot="1" x14ac:dyDescent="0.25">
      <c r="A66" s="205"/>
      <c r="B66" s="204"/>
      <c r="C66" s="205"/>
      <c r="D66" s="204"/>
      <c r="E66" s="205"/>
      <c r="F66" s="204"/>
      <c r="G66" s="205"/>
      <c r="H66" s="205"/>
      <c r="I66" s="403"/>
      <c r="J66" s="428" t="s">
        <v>186</v>
      </c>
      <c r="K66" s="186">
        <v>5</v>
      </c>
      <c r="L66" s="183" t="s">
        <v>2161</v>
      </c>
      <c r="M66" s="148" t="s">
        <v>187</v>
      </c>
      <c r="N66" s="196" t="s">
        <v>43</v>
      </c>
      <c r="O66" s="196">
        <v>1</v>
      </c>
      <c r="P66" s="196">
        <v>1</v>
      </c>
      <c r="Q66" s="196">
        <v>1</v>
      </c>
      <c r="R66" s="196">
        <v>1</v>
      </c>
      <c r="S66" s="199">
        <v>4</v>
      </c>
      <c r="T66" s="425">
        <f>'Anexo 2024'!BJ90</f>
        <v>214457133.24600002</v>
      </c>
      <c r="U66" s="266">
        <f>'Detallado del Gasto 2025-1'!DZ90</f>
        <v>43658029.612500004</v>
      </c>
      <c r="V66" s="203"/>
      <c r="W66" s="203"/>
      <c r="X66" s="409"/>
      <c r="Y66" s="372" t="s">
        <v>51</v>
      </c>
      <c r="Z66" s="183" t="s">
        <v>823</v>
      </c>
      <c r="AA66" s="153" t="s">
        <v>173</v>
      </c>
      <c r="AB66" s="156" t="s">
        <v>34</v>
      </c>
      <c r="AC66" s="148" t="s">
        <v>1605</v>
      </c>
      <c r="AD66" s="189" t="s">
        <v>37</v>
      </c>
      <c r="AE66" s="183" t="s">
        <v>1643</v>
      </c>
      <c r="AF66" s="192"/>
      <c r="AG66" s="183" t="s">
        <v>71</v>
      </c>
      <c r="AH66" s="150" t="s">
        <v>1633</v>
      </c>
      <c r="AI66" s="150" t="s">
        <v>1581</v>
      </c>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row>
    <row r="67" spans="1:92" s="151" customFormat="1" ht="41.45" customHeight="1" thickBot="1" x14ac:dyDescent="0.25">
      <c r="A67" s="205"/>
      <c r="B67" s="204"/>
      <c r="C67" s="205"/>
      <c r="D67" s="204"/>
      <c r="E67" s="205"/>
      <c r="F67" s="204"/>
      <c r="G67" s="205"/>
      <c r="H67" s="205"/>
      <c r="I67" s="403"/>
      <c r="J67" s="429"/>
      <c r="K67" s="187"/>
      <c r="L67" s="184"/>
      <c r="M67" s="148" t="s">
        <v>188</v>
      </c>
      <c r="N67" s="197"/>
      <c r="O67" s="197"/>
      <c r="P67" s="197"/>
      <c r="Q67" s="197"/>
      <c r="R67" s="197"/>
      <c r="S67" s="200"/>
      <c r="T67" s="425">
        <f>'Anexo 2024'!BJ91</f>
        <v>214457133.24600002</v>
      </c>
      <c r="U67" s="266">
        <f>'Detallado del Gasto 2025-1'!DZ91</f>
        <v>43658029.612500004</v>
      </c>
      <c r="V67" s="203"/>
      <c r="W67" s="203"/>
      <c r="X67" s="409"/>
      <c r="Y67" s="372" t="s">
        <v>1937</v>
      </c>
      <c r="Z67" s="184"/>
      <c r="AA67" s="153" t="s">
        <v>173</v>
      </c>
      <c r="AB67" s="156" t="s">
        <v>34</v>
      </c>
      <c r="AC67" s="148" t="s">
        <v>1605</v>
      </c>
      <c r="AD67" s="190"/>
      <c r="AE67" s="184"/>
      <c r="AF67" s="193"/>
      <c r="AG67" s="184"/>
      <c r="AH67" s="150" t="s">
        <v>1633</v>
      </c>
      <c r="AI67" s="150" t="s">
        <v>1575</v>
      </c>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row>
    <row r="68" spans="1:92" s="151" customFormat="1" ht="27.6" customHeight="1" thickBot="1" x14ac:dyDescent="0.25">
      <c r="A68" s="205"/>
      <c r="B68" s="204"/>
      <c r="C68" s="205"/>
      <c r="D68" s="204"/>
      <c r="E68" s="205"/>
      <c r="F68" s="204"/>
      <c r="G68" s="205"/>
      <c r="H68" s="205"/>
      <c r="I68" s="403"/>
      <c r="J68" s="429"/>
      <c r="K68" s="187"/>
      <c r="L68" s="184"/>
      <c r="M68" s="148" t="s">
        <v>189</v>
      </c>
      <c r="N68" s="197"/>
      <c r="O68" s="197"/>
      <c r="P68" s="197"/>
      <c r="Q68" s="197"/>
      <c r="R68" s="197"/>
      <c r="S68" s="200"/>
      <c r="T68" s="425">
        <f>'Anexo 2024'!BJ92</f>
        <v>214457133.24600002</v>
      </c>
      <c r="U68" s="266">
        <f>'Detallado del Gasto 2025-1'!DZ92</f>
        <v>43658029.612500004</v>
      </c>
      <c r="V68" s="203"/>
      <c r="W68" s="203"/>
      <c r="X68" s="409"/>
      <c r="Y68" s="372" t="s">
        <v>51</v>
      </c>
      <c r="Z68" s="184"/>
      <c r="AA68" s="153" t="s">
        <v>173</v>
      </c>
      <c r="AB68" s="156" t="s">
        <v>34</v>
      </c>
      <c r="AC68" s="148" t="s">
        <v>1605</v>
      </c>
      <c r="AD68" s="190"/>
      <c r="AE68" s="184"/>
      <c r="AF68" s="193"/>
      <c r="AG68" s="184"/>
      <c r="AH68" s="150" t="s">
        <v>1607</v>
      </c>
      <c r="AI68" s="150" t="s">
        <v>1575</v>
      </c>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row>
    <row r="69" spans="1:92" s="151" customFormat="1" ht="55.15" customHeight="1" thickBot="1" x14ac:dyDescent="0.25">
      <c r="A69" s="205"/>
      <c r="B69" s="204"/>
      <c r="C69" s="205"/>
      <c r="D69" s="204"/>
      <c r="E69" s="205"/>
      <c r="F69" s="204"/>
      <c r="G69" s="205"/>
      <c r="H69" s="205"/>
      <c r="I69" s="403"/>
      <c r="J69" s="430"/>
      <c r="K69" s="188"/>
      <c r="L69" s="185"/>
      <c r="M69" s="148" t="s">
        <v>190</v>
      </c>
      <c r="N69" s="198"/>
      <c r="O69" s="198"/>
      <c r="P69" s="198"/>
      <c r="Q69" s="198"/>
      <c r="R69" s="198"/>
      <c r="S69" s="201"/>
      <c r="T69" s="425">
        <f>'Anexo 2024'!BJ93</f>
        <v>214457133.24600002</v>
      </c>
      <c r="U69" s="266">
        <f>'Detallado del Gasto 2025-1'!DZ93</f>
        <v>43658029.612500004</v>
      </c>
      <c r="V69" s="203">
        <v>3093000000</v>
      </c>
      <c r="W69" s="203">
        <v>4193000000</v>
      </c>
      <c r="X69" s="409"/>
      <c r="Y69" s="372" t="s">
        <v>51</v>
      </c>
      <c r="Z69" s="185"/>
      <c r="AA69" s="153" t="s">
        <v>173</v>
      </c>
      <c r="AB69" s="156" t="s">
        <v>34</v>
      </c>
      <c r="AC69" s="148" t="s">
        <v>1605</v>
      </c>
      <c r="AD69" s="191"/>
      <c r="AE69" s="185"/>
      <c r="AF69" s="194"/>
      <c r="AG69" s="185"/>
      <c r="AH69" s="150" t="s">
        <v>1574</v>
      </c>
      <c r="AI69" s="150" t="s">
        <v>1581</v>
      </c>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row>
    <row r="70" spans="1:92" s="151" customFormat="1" ht="76.5" customHeight="1" thickBot="1" x14ac:dyDescent="0.25">
      <c r="A70" s="205"/>
      <c r="B70" s="204"/>
      <c r="C70" s="205"/>
      <c r="D70" s="204"/>
      <c r="E70" s="205"/>
      <c r="F70" s="204"/>
      <c r="G70" s="205"/>
      <c r="H70" s="205"/>
      <c r="I70" s="403"/>
      <c r="J70" s="408" t="s">
        <v>1911</v>
      </c>
      <c r="K70" s="169">
        <v>10</v>
      </c>
      <c r="L70" s="152" t="s">
        <v>1912</v>
      </c>
      <c r="M70" s="148" t="s">
        <v>57</v>
      </c>
      <c r="N70" s="153" t="s">
        <v>43</v>
      </c>
      <c r="O70" s="153">
        <v>1</v>
      </c>
      <c r="P70" s="153">
        <v>1</v>
      </c>
      <c r="Q70" s="153">
        <v>1</v>
      </c>
      <c r="R70" s="153">
        <v>1</v>
      </c>
      <c r="S70" s="154">
        <v>4</v>
      </c>
      <c r="T70" s="425">
        <f>'Anexo 2024'!BJ94</f>
        <v>3487623088.71</v>
      </c>
      <c r="U70" s="266">
        <f>'Detallado del Gasto 2025-1'!DZ94</f>
        <v>756129498.33000004</v>
      </c>
      <c r="V70" s="203">
        <v>3093000000</v>
      </c>
      <c r="W70" s="203">
        <v>4193000000</v>
      </c>
      <c r="X70" s="409"/>
      <c r="Y70" s="372" t="s">
        <v>51</v>
      </c>
      <c r="Z70" s="147" t="s">
        <v>154</v>
      </c>
      <c r="AA70" s="153" t="s">
        <v>173</v>
      </c>
      <c r="AB70" s="156" t="s">
        <v>34</v>
      </c>
      <c r="AC70" s="148" t="s">
        <v>1605</v>
      </c>
      <c r="AD70" s="155" t="s">
        <v>37</v>
      </c>
      <c r="AE70" s="147" t="s">
        <v>1611</v>
      </c>
      <c r="AF70" s="156"/>
      <c r="AG70" s="147" t="s">
        <v>71</v>
      </c>
      <c r="AH70" s="150" t="s">
        <v>1574</v>
      </c>
      <c r="AI70" s="150" t="s">
        <v>1581</v>
      </c>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row>
    <row r="71" spans="1:92" s="151" customFormat="1" ht="76.5" customHeight="1" thickBot="1" x14ac:dyDescent="0.25">
      <c r="A71" s="205"/>
      <c r="B71" s="204"/>
      <c r="C71" s="205"/>
      <c r="D71" s="204"/>
      <c r="E71" s="205"/>
      <c r="F71" s="204"/>
      <c r="G71" s="205"/>
      <c r="H71" s="205"/>
      <c r="I71" s="403"/>
      <c r="J71" s="408" t="s">
        <v>192</v>
      </c>
      <c r="K71" s="167">
        <v>15</v>
      </c>
      <c r="L71" s="152" t="s">
        <v>193</v>
      </c>
      <c r="M71" s="148" t="s">
        <v>57</v>
      </c>
      <c r="N71" s="153" t="s">
        <v>43</v>
      </c>
      <c r="O71" s="153">
        <v>1</v>
      </c>
      <c r="P71" s="153">
        <v>1</v>
      </c>
      <c r="Q71" s="153">
        <v>1</v>
      </c>
      <c r="R71" s="153">
        <v>1</v>
      </c>
      <c r="S71" s="154">
        <v>4</v>
      </c>
      <c r="T71" s="425">
        <f>'Anexo 2024'!BJ95</f>
        <v>1165759026.5700002</v>
      </c>
      <c r="U71" s="266">
        <f>'Detallado del Gasto 2025-1'!DZ95</f>
        <v>189032374.58250001</v>
      </c>
      <c r="V71" s="203">
        <v>3093000000</v>
      </c>
      <c r="W71" s="203">
        <v>4193000000</v>
      </c>
      <c r="X71" s="409"/>
      <c r="Y71" s="372" t="s">
        <v>51</v>
      </c>
      <c r="Z71" s="147" t="s">
        <v>154</v>
      </c>
      <c r="AA71" s="153" t="s">
        <v>173</v>
      </c>
      <c r="AB71" s="156" t="s">
        <v>34</v>
      </c>
      <c r="AC71" s="148" t="s">
        <v>1605</v>
      </c>
      <c r="AD71" s="155" t="s">
        <v>37</v>
      </c>
      <c r="AE71" s="147" t="s">
        <v>1640</v>
      </c>
      <c r="AF71" s="156"/>
      <c r="AG71" s="149" t="s">
        <v>71</v>
      </c>
      <c r="AH71" s="150" t="s">
        <v>1607</v>
      </c>
      <c r="AI71" s="150" t="s">
        <v>1575</v>
      </c>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row>
    <row r="72" spans="1:92" s="151" customFormat="1" ht="110.45" customHeight="1" thickBot="1" x14ac:dyDescent="0.25">
      <c r="A72" s="205"/>
      <c r="B72" s="204"/>
      <c r="C72" s="205"/>
      <c r="D72" s="204"/>
      <c r="E72" s="205"/>
      <c r="F72" s="204"/>
      <c r="G72" s="205"/>
      <c r="H72" s="205"/>
      <c r="I72" s="403"/>
      <c r="J72" s="412" t="s">
        <v>194</v>
      </c>
      <c r="K72" s="168">
        <v>10</v>
      </c>
      <c r="L72" s="373" t="s">
        <v>184</v>
      </c>
      <c r="M72" s="171" t="s">
        <v>195</v>
      </c>
      <c r="N72" s="173" t="s">
        <v>43</v>
      </c>
      <c r="O72" s="173">
        <v>1</v>
      </c>
      <c r="P72" s="173">
        <v>1</v>
      </c>
      <c r="Q72" s="173">
        <v>1</v>
      </c>
      <c r="R72" s="173">
        <v>1</v>
      </c>
      <c r="S72" s="174">
        <v>4</v>
      </c>
      <c r="T72" s="433">
        <f>'Anexo 2024'!BJ96</f>
        <v>1001057119.5700001</v>
      </c>
      <c r="U72" s="434">
        <f>'Detallado del Gasto 2025-1'!DZ96</f>
        <v>189032374.58250001</v>
      </c>
      <c r="V72" s="435">
        <v>3093000000</v>
      </c>
      <c r="W72" s="435">
        <v>4193000000</v>
      </c>
      <c r="X72" s="414"/>
      <c r="Y72" s="372" t="s">
        <v>51</v>
      </c>
      <c r="Z72" s="147" t="s">
        <v>154</v>
      </c>
      <c r="AA72" s="153" t="s">
        <v>173</v>
      </c>
      <c r="AB72" s="156" t="s">
        <v>34</v>
      </c>
      <c r="AC72" s="148" t="s">
        <v>1605</v>
      </c>
      <c r="AD72" s="155" t="s">
        <v>37</v>
      </c>
      <c r="AE72" s="147" t="s">
        <v>1611</v>
      </c>
      <c r="AF72" s="156"/>
      <c r="AG72" s="149" t="s">
        <v>71</v>
      </c>
      <c r="AH72" s="150" t="s">
        <v>59</v>
      </c>
      <c r="AI72" s="150" t="s">
        <v>1567</v>
      </c>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row>
    <row r="73" spans="1:92" s="151" customFormat="1" ht="100.5" thickBot="1" x14ac:dyDescent="0.25">
      <c r="A73" s="205"/>
      <c r="B73" s="204"/>
      <c r="C73" s="205"/>
      <c r="D73" s="204"/>
      <c r="E73" s="205" t="s">
        <v>197</v>
      </c>
      <c r="F73" s="204">
        <v>20</v>
      </c>
      <c r="G73" s="205" t="s">
        <v>102</v>
      </c>
      <c r="H73" s="205" t="s">
        <v>198</v>
      </c>
      <c r="I73" s="403">
        <v>100</v>
      </c>
      <c r="J73" s="404" t="s">
        <v>1913</v>
      </c>
      <c r="K73" s="415">
        <v>20</v>
      </c>
      <c r="L73" s="377" t="s">
        <v>1936</v>
      </c>
      <c r="M73" s="378" t="s">
        <v>57</v>
      </c>
      <c r="N73" s="376" t="s">
        <v>43</v>
      </c>
      <c r="O73" s="376">
        <v>1</v>
      </c>
      <c r="P73" s="376">
        <v>1</v>
      </c>
      <c r="Q73" s="376">
        <v>1</v>
      </c>
      <c r="R73" s="376">
        <v>1</v>
      </c>
      <c r="S73" s="379">
        <v>4</v>
      </c>
      <c r="T73" s="425">
        <f>'Anexo 2024'!BJ95</f>
        <v>1165759026.5700002</v>
      </c>
      <c r="U73" s="426">
        <f>'Detallado del Gasto 2025-1'!DZ95</f>
        <v>189032374.58250001</v>
      </c>
      <c r="V73" s="427">
        <v>4502000000</v>
      </c>
      <c r="W73" s="427">
        <v>4702000000</v>
      </c>
      <c r="X73" s="407">
        <f>SUM(U73:U76)+SUM(T73:T76)</f>
        <v>4243752587.0400004</v>
      </c>
      <c r="Y73" s="372" t="s">
        <v>51</v>
      </c>
      <c r="Z73" s="147" t="s">
        <v>154</v>
      </c>
      <c r="AA73" s="148" t="s">
        <v>102</v>
      </c>
      <c r="AB73" s="156" t="s">
        <v>34</v>
      </c>
      <c r="AC73" s="148" t="s">
        <v>1605</v>
      </c>
      <c r="AD73" s="155" t="s">
        <v>37</v>
      </c>
      <c r="AE73" s="147" t="s">
        <v>1643</v>
      </c>
      <c r="AF73" s="156"/>
      <c r="AG73" s="149" t="s">
        <v>39</v>
      </c>
      <c r="AH73" s="150" t="s">
        <v>1580</v>
      </c>
      <c r="AI73" s="150" t="s">
        <v>47</v>
      </c>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row>
    <row r="74" spans="1:92" s="151" customFormat="1" ht="100.5" thickBot="1" x14ac:dyDescent="0.25">
      <c r="A74" s="205"/>
      <c r="B74" s="204"/>
      <c r="C74" s="205"/>
      <c r="D74" s="204"/>
      <c r="E74" s="205"/>
      <c r="F74" s="204"/>
      <c r="G74" s="205"/>
      <c r="H74" s="205"/>
      <c r="I74" s="403"/>
      <c r="J74" s="408" t="s">
        <v>199</v>
      </c>
      <c r="K74" s="167">
        <v>40</v>
      </c>
      <c r="L74" s="152" t="s">
        <v>200</v>
      </c>
      <c r="M74" s="148" t="s">
        <v>57</v>
      </c>
      <c r="N74" s="153" t="s">
        <v>43</v>
      </c>
      <c r="O74" s="153">
        <v>3</v>
      </c>
      <c r="P74" s="153">
        <v>6</v>
      </c>
      <c r="Q74" s="153">
        <v>6</v>
      </c>
      <c r="R74" s="153">
        <v>5</v>
      </c>
      <c r="S74" s="154">
        <v>20</v>
      </c>
      <c r="T74" s="425">
        <f>'Anexo 2024'!BJ96</f>
        <v>1001057119.5700001</v>
      </c>
      <c r="U74" s="266">
        <f>'Detallado del Gasto 2025-1'!DZ96</f>
        <v>189032374.58250001</v>
      </c>
      <c r="V74" s="203">
        <v>4502000000</v>
      </c>
      <c r="W74" s="203">
        <v>4702000000</v>
      </c>
      <c r="X74" s="409"/>
      <c r="Y74" s="372" t="s">
        <v>51</v>
      </c>
      <c r="Z74" s="147" t="s">
        <v>154</v>
      </c>
      <c r="AA74" s="148" t="s">
        <v>102</v>
      </c>
      <c r="AB74" s="156" t="s">
        <v>34</v>
      </c>
      <c r="AC74" s="148" t="s">
        <v>1605</v>
      </c>
      <c r="AD74" s="155" t="s">
        <v>37</v>
      </c>
      <c r="AE74" s="147" t="s">
        <v>1643</v>
      </c>
      <c r="AF74" s="156"/>
      <c r="AG74" s="149" t="s">
        <v>39</v>
      </c>
      <c r="AH74" s="150" t="s">
        <v>1580</v>
      </c>
      <c r="AI74" s="150" t="s">
        <v>47</v>
      </c>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row>
    <row r="75" spans="1:92" s="151" customFormat="1" ht="44.25" customHeight="1" thickBot="1" x14ac:dyDescent="0.25">
      <c r="A75" s="205"/>
      <c r="B75" s="204"/>
      <c r="C75" s="205"/>
      <c r="D75" s="204"/>
      <c r="E75" s="205"/>
      <c r="F75" s="204"/>
      <c r="G75" s="205"/>
      <c r="H75" s="205"/>
      <c r="I75" s="403"/>
      <c r="J75" s="408" t="s">
        <v>1914</v>
      </c>
      <c r="K75" s="167">
        <v>20</v>
      </c>
      <c r="L75" s="152" t="s">
        <v>202</v>
      </c>
      <c r="M75" s="148" t="s">
        <v>203</v>
      </c>
      <c r="N75" s="153" t="s">
        <v>43</v>
      </c>
      <c r="O75" s="153">
        <v>1</v>
      </c>
      <c r="P75" s="153">
        <v>1</v>
      </c>
      <c r="Q75" s="153">
        <v>1</v>
      </c>
      <c r="R75" s="153">
        <v>1</v>
      </c>
      <c r="S75" s="154">
        <v>4</v>
      </c>
      <c r="T75" s="425">
        <f>'Anexo 2024'!BJ97</f>
        <v>404241096</v>
      </c>
      <c r="U75" s="266">
        <f>'Detallado del Gasto 2025-1'!DZ97</f>
        <v>189032374.58250001</v>
      </c>
      <c r="V75" s="203"/>
      <c r="W75" s="203"/>
      <c r="X75" s="409"/>
      <c r="Y75" s="372" t="s">
        <v>51</v>
      </c>
      <c r="Z75" s="147" t="s">
        <v>1166</v>
      </c>
      <c r="AA75" s="148" t="s">
        <v>102</v>
      </c>
      <c r="AB75" s="156" t="s">
        <v>34</v>
      </c>
      <c r="AC75" s="148" t="s">
        <v>1605</v>
      </c>
      <c r="AD75" s="155" t="s">
        <v>37</v>
      </c>
      <c r="AE75" s="147" t="s">
        <v>38</v>
      </c>
      <c r="AF75" s="156"/>
      <c r="AG75" s="149" t="s">
        <v>39</v>
      </c>
      <c r="AH75" s="150" t="s">
        <v>1580</v>
      </c>
      <c r="AI75" s="150" t="s">
        <v>1939</v>
      </c>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row>
    <row r="76" spans="1:92" s="151" customFormat="1" ht="85.5" customHeight="1" thickBot="1" x14ac:dyDescent="0.25">
      <c r="A76" s="205"/>
      <c r="B76" s="204"/>
      <c r="C76" s="205"/>
      <c r="D76" s="204"/>
      <c r="E76" s="205"/>
      <c r="F76" s="204"/>
      <c r="G76" s="205"/>
      <c r="H76" s="205"/>
      <c r="I76" s="403"/>
      <c r="J76" s="410" t="s">
        <v>1896</v>
      </c>
      <c r="K76" s="418">
        <v>20</v>
      </c>
      <c r="L76" s="387" t="s">
        <v>1933</v>
      </c>
      <c r="M76" s="388" t="s">
        <v>57</v>
      </c>
      <c r="N76" s="386" t="s">
        <v>110</v>
      </c>
      <c r="O76" s="386">
        <v>100</v>
      </c>
      <c r="P76" s="386">
        <v>100</v>
      </c>
      <c r="Q76" s="386">
        <v>100</v>
      </c>
      <c r="R76" s="386">
        <v>100</v>
      </c>
      <c r="S76" s="389">
        <v>400</v>
      </c>
      <c r="T76" s="425">
        <f>'Anexo 2024'!BJ98</f>
        <v>916565846.57000005</v>
      </c>
      <c r="U76" s="431">
        <f>'Detallado del Gasto 2025-1'!DZ98</f>
        <v>189032374.58250001</v>
      </c>
      <c r="V76" s="432">
        <v>4502000000</v>
      </c>
      <c r="W76" s="432">
        <v>4702000000</v>
      </c>
      <c r="X76" s="411"/>
      <c r="Y76" s="372" t="s">
        <v>1690</v>
      </c>
      <c r="Z76" s="147" t="s">
        <v>154</v>
      </c>
      <c r="AA76" s="148" t="s">
        <v>102</v>
      </c>
      <c r="AB76" s="156" t="s">
        <v>34</v>
      </c>
      <c r="AC76" s="148" t="s">
        <v>1605</v>
      </c>
      <c r="AD76" s="155" t="s">
        <v>37</v>
      </c>
      <c r="AE76" s="147" t="s">
        <v>38</v>
      </c>
      <c r="AF76" s="156"/>
      <c r="AG76" s="149" t="s">
        <v>71</v>
      </c>
      <c r="AH76" s="150" t="s">
        <v>59</v>
      </c>
      <c r="AI76" s="150" t="s">
        <v>1567</v>
      </c>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row>
    <row r="77" spans="1:92" s="151" customFormat="1" ht="85.5" x14ac:dyDescent="0.2">
      <c r="A77" s="205"/>
      <c r="B77" s="204"/>
      <c r="C77" s="205"/>
      <c r="D77" s="204"/>
      <c r="E77" s="205" t="s">
        <v>204</v>
      </c>
      <c r="F77" s="204">
        <v>20</v>
      </c>
      <c r="G77" s="205" t="s">
        <v>102</v>
      </c>
      <c r="H77" s="205" t="s">
        <v>205</v>
      </c>
      <c r="I77" s="204">
        <v>100</v>
      </c>
      <c r="J77" s="374" t="s">
        <v>1915</v>
      </c>
      <c r="K77" s="170">
        <v>30</v>
      </c>
      <c r="L77" s="374" t="s">
        <v>2167</v>
      </c>
      <c r="M77" s="172" t="s">
        <v>1733</v>
      </c>
      <c r="N77" s="170" t="s">
        <v>110</v>
      </c>
      <c r="O77" s="170">
        <v>10</v>
      </c>
      <c r="P77" s="170">
        <v>30</v>
      </c>
      <c r="Q77" s="170">
        <v>30</v>
      </c>
      <c r="R77" s="170">
        <v>30</v>
      </c>
      <c r="S77" s="175">
        <v>100</v>
      </c>
      <c r="T77" s="267">
        <f>'Anexo 2024'!BJ100</f>
        <v>196357879.66666666</v>
      </c>
      <c r="U77" s="260">
        <f>'Detallado del Gasto 2025-1'!DZ100</f>
        <v>12663441.666666668</v>
      </c>
      <c r="V77" s="215">
        <v>1085000000</v>
      </c>
      <c r="W77" s="215">
        <v>1085000000</v>
      </c>
      <c r="X77" s="180">
        <f>SUM(U77:U79)+SUM(T77:T79)</f>
        <v>627063964</v>
      </c>
      <c r="Y77" s="153" t="s">
        <v>51</v>
      </c>
      <c r="Z77" s="147" t="s">
        <v>154</v>
      </c>
      <c r="AA77" s="148" t="s">
        <v>102</v>
      </c>
      <c r="AB77" s="156" t="s">
        <v>34</v>
      </c>
      <c r="AC77" s="148" t="s">
        <v>1605</v>
      </c>
      <c r="AD77" s="155" t="s">
        <v>37</v>
      </c>
      <c r="AE77" s="147" t="s">
        <v>1591</v>
      </c>
      <c r="AF77" s="156"/>
      <c r="AG77" s="149" t="s">
        <v>71</v>
      </c>
      <c r="AH77" s="150" t="s">
        <v>1574</v>
      </c>
      <c r="AI77" s="150" t="s">
        <v>1581</v>
      </c>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row>
    <row r="78" spans="1:92" s="151" customFormat="1" ht="99.75" x14ac:dyDescent="0.2">
      <c r="A78" s="205"/>
      <c r="B78" s="204"/>
      <c r="C78" s="205"/>
      <c r="D78" s="204"/>
      <c r="E78" s="205"/>
      <c r="F78" s="204"/>
      <c r="G78" s="205"/>
      <c r="H78" s="205"/>
      <c r="I78" s="204"/>
      <c r="J78" s="152" t="s">
        <v>207</v>
      </c>
      <c r="K78" s="153">
        <v>20</v>
      </c>
      <c r="L78" s="152" t="s">
        <v>2168</v>
      </c>
      <c r="M78" s="148" t="s">
        <v>32</v>
      </c>
      <c r="N78" s="153" t="s">
        <v>43</v>
      </c>
      <c r="O78" s="153">
        <v>10</v>
      </c>
      <c r="P78" s="153">
        <v>1</v>
      </c>
      <c r="Q78" s="153">
        <v>1</v>
      </c>
      <c r="R78" s="153">
        <v>1</v>
      </c>
      <c r="S78" s="154">
        <v>3</v>
      </c>
      <c r="T78" s="267">
        <f>'Anexo 2024'!BJ101</f>
        <v>196357879.66666666</v>
      </c>
      <c r="U78" s="261">
        <f>'Detallado del Gasto 2025-1'!DZ101</f>
        <v>12663441.666666668</v>
      </c>
      <c r="V78" s="202">
        <v>1085000000</v>
      </c>
      <c r="W78" s="202">
        <v>1085000000</v>
      </c>
      <c r="X78" s="182"/>
      <c r="Y78" s="153" t="s">
        <v>1938</v>
      </c>
      <c r="Z78" s="147" t="s">
        <v>154</v>
      </c>
      <c r="AA78" s="148" t="s">
        <v>102</v>
      </c>
      <c r="AB78" s="156" t="s">
        <v>34</v>
      </c>
      <c r="AC78" s="148" t="s">
        <v>1605</v>
      </c>
      <c r="AD78" s="155" t="s">
        <v>37</v>
      </c>
      <c r="AE78" s="147" t="s">
        <v>38</v>
      </c>
      <c r="AF78" s="156"/>
      <c r="AG78" s="149" t="s">
        <v>39</v>
      </c>
      <c r="AH78" s="150" t="s">
        <v>1580</v>
      </c>
      <c r="AI78" s="150" t="s">
        <v>1581</v>
      </c>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row>
    <row r="79" spans="1:92" ht="69" customHeight="1" x14ac:dyDescent="0.2">
      <c r="A79" s="205"/>
      <c r="B79" s="204"/>
      <c r="C79" s="205"/>
      <c r="D79" s="204"/>
      <c r="E79" s="205"/>
      <c r="F79" s="204"/>
      <c r="G79" s="205"/>
      <c r="H79" s="205"/>
      <c r="I79" s="204"/>
      <c r="J79" s="152" t="s">
        <v>208</v>
      </c>
      <c r="K79" s="153">
        <v>50</v>
      </c>
      <c r="L79" s="152" t="s">
        <v>209</v>
      </c>
      <c r="M79" s="148" t="s">
        <v>57</v>
      </c>
      <c r="N79" s="153" t="s">
        <v>110</v>
      </c>
      <c r="O79" s="153">
        <v>10</v>
      </c>
      <c r="P79" s="153">
        <v>30</v>
      </c>
      <c r="Q79" s="153">
        <v>30</v>
      </c>
      <c r="R79" s="153">
        <v>30</v>
      </c>
      <c r="S79" s="154">
        <v>100</v>
      </c>
      <c r="T79" s="267">
        <f>'Anexo 2024'!BJ102</f>
        <v>196357879.66666666</v>
      </c>
      <c r="U79" s="261">
        <f>'Detallado del Gasto 2025-1'!DZ102</f>
        <v>12663441.666666668</v>
      </c>
      <c r="V79" s="202">
        <v>1085000000</v>
      </c>
      <c r="W79" s="202">
        <v>1085000000</v>
      </c>
      <c r="X79" s="182"/>
      <c r="Y79" s="153" t="s">
        <v>51</v>
      </c>
      <c r="Z79" s="147" t="s">
        <v>328</v>
      </c>
      <c r="AA79" s="148" t="s">
        <v>28</v>
      </c>
      <c r="AB79" s="156" t="s">
        <v>34</v>
      </c>
      <c r="AC79" s="148" t="s">
        <v>1605</v>
      </c>
      <c r="AD79" s="155" t="s">
        <v>37</v>
      </c>
      <c r="AE79" s="147" t="s">
        <v>1640</v>
      </c>
      <c r="AF79" s="156"/>
      <c r="AG79" s="149" t="s">
        <v>39</v>
      </c>
      <c r="AH79" s="150" t="s">
        <v>59</v>
      </c>
      <c r="AI79" s="150" t="s">
        <v>1575</v>
      </c>
    </row>
    <row r="80" spans="1:92" ht="16.5" customHeight="1" x14ac:dyDescent="0.2">
      <c r="A80" s="2"/>
      <c r="B80" s="5"/>
      <c r="C80" s="2"/>
      <c r="D80" s="5"/>
      <c r="E80" s="2"/>
      <c r="F80" s="5"/>
      <c r="G80" s="2"/>
      <c r="H80" s="2"/>
      <c r="I80" s="5"/>
      <c r="J80" s="3"/>
      <c r="K80" s="5"/>
      <c r="L80" s="4"/>
      <c r="M80" s="2"/>
      <c r="N80" s="2"/>
      <c r="O80" s="5"/>
      <c r="P80" s="5"/>
      <c r="Q80" s="5"/>
      <c r="R80" s="5"/>
      <c r="S80" s="4"/>
      <c r="T80" s="166"/>
      <c r="U80" s="164"/>
      <c r="V80" s="164"/>
      <c r="W80" s="164"/>
      <c r="X80" s="164"/>
      <c r="Y80" s="162"/>
      <c r="Z80" s="163"/>
      <c r="AA80" s="162"/>
      <c r="AB80" s="162"/>
      <c r="AC80" s="162"/>
      <c r="AD80" s="163"/>
      <c r="AE80" s="163"/>
      <c r="AF80" s="163"/>
    </row>
    <row r="81" spans="1:32" ht="16.5" customHeight="1" x14ac:dyDescent="0.2">
      <c r="A81" s="2"/>
      <c r="B81" s="5"/>
      <c r="C81" s="2"/>
      <c r="D81" s="5"/>
      <c r="E81" s="2"/>
      <c r="F81" s="5"/>
      <c r="G81" s="2"/>
      <c r="H81" s="2"/>
      <c r="I81" s="5"/>
      <c r="J81" s="3"/>
      <c r="K81" s="5"/>
      <c r="L81" s="4"/>
      <c r="M81" s="2"/>
      <c r="N81" s="2"/>
      <c r="O81" s="5"/>
      <c r="P81" s="5"/>
      <c r="Q81" s="5"/>
      <c r="R81" s="5"/>
      <c r="S81" s="4"/>
      <c r="T81" s="2"/>
      <c r="U81" s="2"/>
      <c r="V81" s="2"/>
      <c r="W81" s="2"/>
      <c r="X81" s="6"/>
      <c r="Y81" s="162"/>
      <c r="Z81" s="163"/>
      <c r="AA81" s="162"/>
      <c r="AB81" s="162"/>
      <c r="AC81" s="162"/>
      <c r="AD81" s="163"/>
      <c r="AE81" s="163"/>
      <c r="AF81" s="163"/>
    </row>
    <row r="82" spans="1:32" ht="16.5" customHeight="1" x14ac:dyDescent="0.2">
      <c r="A82" s="2"/>
      <c r="B82" s="5"/>
      <c r="C82" s="2"/>
      <c r="D82" s="5"/>
      <c r="E82" s="2"/>
      <c r="F82" s="5"/>
      <c r="G82" s="2"/>
      <c r="H82" s="2"/>
      <c r="I82" s="5"/>
      <c r="J82" s="3"/>
      <c r="K82" s="5"/>
      <c r="L82" s="4"/>
      <c r="M82" s="2"/>
      <c r="N82" s="2"/>
      <c r="O82" s="5"/>
      <c r="P82" s="5"/>
      <c r="Q82" s="5"/>
      <c r="R82" s="5"/>
      <c r="S82" s="4"/>
      <c r="T82" s="2"/>
      <c r="U82" s="2"/>
      <c r="V82" s="2"/>
      <c r="W82" s="2"/>
      <c r="X82" s="6"/>
      <c r="Y82" s="162"/>
      <c r="Z82" s="163"/>
      <c r="AA82" s="162"/>
      <c r="AB82" s="162"/>
      <c r="AC82" s="162"/>
      <c r="AD82" s="163"/>
      <c r="AE82" s="163"/>
      <c r="AF82" s="163"/>
    </row>
    <row r="83" spans="1:32" ht="16.5" customHeight="1" x14ac:dyDescent="0.2">
      <c r="A83" s="2"/>
      <c r="B83" s="5"/>
      <c r="C83" s="2"/>
      <c r="D83" s="5"/>
      <c r="E83" s="2"/>
      <c r="F83" s="5"/>
      <c r="G83" s="2"/>
      <c r="H83" s="2"/>
      <c r="I83" s="5"/>
      <c r="J83" s="3"/>
      <c r="K83" s="5"/>
      <c r="L83" s="4"/>
      <c r="M83" s="2"/>
      <c r="N83" s="2"/>
      <c r="O83" s="5"/>
      <c r="P83" s="5"/>
      <c r="Q83" s="5"/>
      <c r="R83" s="5"/>
      <c r="S83" s="4"/>
      <c r="T83" s="2"/>
      <c r="U83" s="2"/>
      <c r="V83" s="2"/>
      <c r="W83" s="2"/>
      <c r="X83" s="6"/>
      <c r="Y83" s="162"/>
      <c r="Z83" s="163"/>
      <c r="AA83" s="162"/>
      <c r="AB83" s="162"/>
      <c r="AC83" s="162"/>
      <c r="AD83" s="163"/>
      <c r="AE83" s="163"/>
      <c r="AF83" s="163"/>
    </row>
    <row r="84" spans="1:32" ht="16.5" customHeight="1" x14ac:dyDescent="0.2">
      <c r="A84" s="2"/>
      <c r="B84" s="5"/>
      <c r="C84" s="2"/>
      <c r="D84" s="5"/>
      <c r="E84" s="2"/>
      <c r="F84" s="5"/>
      <c r="G84" s="2"/>
      <c r="H84" s="2"/>
      <c r="I84" s="5"/>
      <c r="J84" s="3"/>
      <c r="K84" s="5"/>
      <c r="L84" s="4"/>
      <c r="M84" s="2"/>
      <c r="N84" s="2"/>
      <c r="O84" s="5"/>
      <c r="P84" s="5"/>
      <c r="Q84" s="5"/>
      <c r="R84" s="5"/>
      <c r="S84" s="4"/>
      <c r="T84" s="2"/>
      <c r="U84" s="2"/>
      <c r="V84" s="2"/>
      <c r="W84" s="2"/>
      <c r="X84" s="6"/>
      <c r="Y84" s="162"/>
      <c r="Z84" s="163"/>
      <c r="AA84" s="162"/>
      <c r="AB84" s="162"/>
      <c r="AC84" s="162"/>
      <c r="AD84" s="163"/>
      <c r="AE84" s="163"/>
      <c r="AF84" s="163"/>
    </row>
    <row r="85" spans="1:32" ht="16.5" customHeight="1" x14ac:dyDescent="0.2">
      <c r="A85" s="2"/>
      <c r="B85" s="5"/>
      <c r="C85" s="2"/>
      <c r="D85" s="5"/>
      <c r="E85" s="2"/>
      <c r="F85" s="5"/>
      <c r="G85" s="2"/>
      <c r="H85" s="2"/>
      <c r="I85" s="5"/>
      <c r="J85" s="3"/>
      <c r="K85" s="5"/>
      <c r="L85" s="4"/>
      <c r="M85" s="2"/>
      <c r="N85" s="2"/>
      <c r="O85" s="5"/>
      <c r="P85" s="5"/>
      <c r="Q85" s="5"/>
      <c r="R85" s="5"/>
      <c r="S85" s="4"/>
      <c r="T85" s="2"/>
      <c r="U85" s="2"/>
      <c r="V85" s="2"/>
      <c r="W85" s="2"/>
      <c r="X85" s="6"/>
      <c r="Y85" s="162"/>
      <c r="Z85" s="163"/>
      <c r="AA85" s="162"/>
      <c r="AB85" s="162"/>
      <c r="AC85" s="162"/>
      <c r="AD85" s="163"/>
      <c r="AE85" s="163"/>
      <c r="AF85" s="163"/>
    </row>
    <row r="86" spans="1:32" ht="16.5" customHeight="1" x14ac:dyDescent="0.2">
      <c r="A86" s="2"/>
      <c r="B86" s="5"/>
      <c r="C86" s="2"/>
      <c r="D86" s="5"/>
      <c r="E86" s="2"/>
      <c r="F86" s="5"/>
      <c r="G86" s="2"/>
      <c r="H86" s="2"/>
      <c r="I86" s="5"/>
      <c r="J86" s="3"/>
      <c r="K86" s="5"/>
      <c r="L86" s="4"/>
      <c r="M86" s="2"/>
      <c r="N86" s="2"/>
      <c r="O86" s="5"/>
      <c r="P86" s="5"/>
      <c r="Q86" s="5"/>
      <c r="R86" s="5"/>
      <c r="S86" s="4"/>
      <c r="T86" s="2"/>
      <c r="U86" s="2"/>
      <c r="V86" s="2"/>
      <c r="W86" s="2"/>
      <c r="X86" s="6"/>
      <c r="Y86" s="162"/>
      <c r="Z86" s="163"/>
      <c r="AA86" s="162"/>
      <c r="AB86" s="162"/>
      <c r="AC86" s="162"/>
      <c r="AD86" s="163"/>
      <c r="AE86" s="163"/>
      <c r="AF86" s="163"/>
    </row>
    <row r="87" spans="1:32" ht="16.5" customHeight="1" x14ac:dyDescent="0.2">
      <c r="A87" s="2"/>
      <c r="B87" s="5"/>
      <c r="C87" s="2"/>
      <c r="D87" s="5"/>
      <c r="E87" s="2"/>
      <c r="F87" s="5"/>
      <c r="G87" s="2"/>
      <c r="H87" s="2"/>
      <c r="I87" s="5"/>
      <c r="J87" s="3"/>
      <c r="K87" s="5"/>
      <c r="L87" s="4"/>
      <c r="M87" s="2"/>
      <c r="N87" s="2"/>
      <c r="O87" s="5"/>
      <c r="P87" s="5"/>
      <c r="Q87" s="5"/>
      <c r="R87" s="5"/>
      <c r="S87" s="4"/>
      <c r="T87" s="2"/>
      <c r="U87" s="2"/>
      <c r="V87" s="2"/>
      <c r="W87" s="2"/>
      <c r="X87" s="6"/>
      <c r="Y87" s="162"/>
      <c r="Z87" s="163"/>
      <c r="AA87" s="162"/>
      <c r="AB87" s="162"/>
      <c r="AC87" s="162"/>
      <c r="AD87" s="163"/>
      <c r="AE87" s="163"/>
      <c r="AF87" s="163"/>
    </row>
    <row r="88" spans="1:32" ht="16.5" customHeight="1" x14ac:dyDescent="0.2">
      <c r="A88" s="2"/>
      <c r="B88" s="5"/>
      <c r="C88" s="2"/>
      <c r="D88" s="5"/>
      <c r="E88" s="2"/>
      <c r="F88" s="5"/>
      <c r="G88" s="2"/>
      <c r="H88" s="2"/>
      <c r="I88" s="5"/>
      <c r="J88" s="3"/>
      <c r="K88" s="5"/>
      <c r="L88" s="4"/>
      <c r="M88" s="2"/>
      <c r="N88" s="2"/>
      <c r="O88" s="5"/>
      <c r="P88" s="5"/>
      <c r="Q88" s="5"/>
      <c r="R88" s="5"/>
      <c r="S88" s="4"/>
      <c r="T88" s="2"/>
      <c r="U88" s="2"/>
      <c r="V88" s="2"/>
      <c r="W88" s="2"/>
      <c r="X88" s="6"/>
      <c r="Y88" s="162"/>
      <c r="Z88" s="163"/>
      <c r="AA88" s="162"/>
      <c r="AB88" s="162"/>
      <c r="AC88" s="162"/>
      <c r="AD88" s="163"/>
      <c r="AE88" s="163"/>
      <c r="AF88" s="163"/>
    </row>
    <row r="89" spans="1:32" ht="16.5" customHeight="1" x14ac:dyDescent="0.2">
      <c r="A89" s="2"/>
      <c r="B89" s="5"/>
      <c r="C89" s="2"/>
      <c r="D89" s="5"/>
      <c r="E89" s="2"/>
      <c r="F89" s="5"/>
      <c r="G89" s="2"/>
      <c r="H89" s="2"/>
      <c r="I89" s="5"/>
      <c r="J89" s="3"/>
      <c r="K89" s="5"/>
      <c r="L89" s="4"/>
      <c r="M89" s="2"/>
      <c r="N89" s="2"/>
      <c r="O89" s="5"/>
      <c r="P89" s="5"/>
      <c r="Q89" s="5"/>
      <c r="R89" s="5"/>
      <c r="S89" s="4"/>
      <c r="T89" s="2"/>
      <c r="U89" s="2"/>
      <c r="V89" s="2"/>
      <c r="W89" s="2"/>
      <c r="X89" s="6"/>
      <c r="Y89" s="162"/>
      <c r="Z89" s="163"/>
      <c r="AA89" s="162"/>
      <c r="AB89" s="162"/>
      <c r="AC89" s="162"/>
      <c r="AD89" s="163"/>
      <c r="AE89" s="163"/>
      <c r="AF89" s="163"/>
    </row>
    <row r="90" spans="1:32" ht="16.5" customHeight="1" x14ac:dyDescent="0.2">
      <c r="A90" s="2"/>
      <c r="B90" s="5"/>
      <c r="C90" s="2"/>
      <c r="D90" s="5"/>
      <c r="E90" s="2"/>
      <c r="F90" s="5"/>
      <c r="G90" s="2"/>
      <c r="H90" s="2"/>
      <c r="I90" s="5"/>
      <c r="J90" s="3"/>
      <c r="K90" s="5"/>
      <c r="L90" s="4"/>
      <c r="M90" s="2"/>
      <c r="N90" s="2"/>
      <c r="O90" s="5"/>
      <c r="P90" s="5"/>
      <c r="Q90" s="5"/>
      <c r="R90" s="5"/>
      <c r="S90" s="4"/>
      <c r="T90" s="2"/>
      <c r="U90" s="2"/>
      <c r="V90" s="2"/>
      <c r="W90" s="2"/>
      <c r="X90" s="6"/>
      <c r="Y90" s="162"/>
      <c r="Z90" s="163"/>
      <c r="AA90" s="162"/>
      <c r="AB90" s="162"/>
      <c r="AC90" s="162"/>
      <c r="AD90" s="163"/>
      <c r="AE90" s="163"/>
      <c r="AF90" s="163"/>
    </row>
    <row r="91" spans="1:32" ht="16.5" customHeight="1" x14ac:dyDescent="0.2">
      <c r="A91" s="2"/>
      <c r="B91" s="5"/>
      <c r="C91" s="2"/>
      <c r="D91" s="5"/>
      <c r="E91" s="2"/>
      <c r="F91" s="5"/>
      <c r="G91" s="2"/>
      <c r="H91" s="2"/>
      <c r="I91" s="5"/>
      <c r="J91" s="3"/>
      <c r="K91" s="5"/>
      <c r="L91" s="4"/>
      <c r="M91" s="2"/>
      <c r="N91" s="2"/>
      <c r="O91" s="5"/>
      <c r="P91" s="5"/>
      <c r="Q91" s="5"/>
      <c r="R91" s="5"/>
      <c r="S91" s="4"/>
      <c r="T91" s="2"/>
      <c r="U91" s="2"/>
      <c r="V91" s="2"/>
      <c r="W91" s="2"/>
      <c r="X91" s="6"/>
      <c r="Y91" s="162"/>
      <c r="Z91" s="163"/>
      <c r="AA91" s="162"/>
      <c r="AB91" s="162"/>
      <c r="AC91" s="162"/>
      <c r="AD91" s="163"/>
      <c r="AE91" s="163"/>
      <c r="AF91" s="163"/>
    </row>
    <row r="92" spans="1:32" ht="16.5" customHeight="1" x14ac:dyDescent="0.2">
      <c r="A92" s="2"/>
      <c r="B92" s="5"/>
      <c r="C92" s="2"/>
      <c r="D92" s="5"/>
      <c r="E92" s="2"/>
      <c r="F92" s="5"/>
      <c r="G92" s="2"/>
      <c r="H92" s="2"/>
      <c r="I92" s="5"/>
      <c r="J92" s="3"/>
      <c r="K92" s="5"/>
      <c r="L92" s="4"/>
      <c r="M92" s="2"/>
      <c r="N92" s="2"/>
      <c r="O92" s="5"/>
      <c r="P92" s="5"/>
      <c r="Q92" s="5"/>
      <c r="R92" s="5"/>
      <c r="S92" s="4"/>
      <c r="T92" s="2"/>
      <c r="U92" s="2"/>
      <c r="V92" s="2"/>
      <c r="W92" s="2"/>
      <c r="X92" s="6"/>
      <c r="Y92" s="162"/>
      <c r="Z92" s="163"/>
      <c r="AA92" s="162"/>
      <c r="AB92" s="162"/>
      <c r="AC92" s="162"/>
      <c r="AD92" s="163"/>
      <c r="AE92" s="163"/>
      <c r="AF92" s="163"/>
    </row>
    <row r="93" spans="1:32" ht="16.5" customHeight="1" x14ac:dyDescent="0.2">
      <c r="A93" s="2"/>
      <c r="B93" s="5"/>
      <c r="C93" s="2"/>
      <c r="D93" s="5"/>
      <c r="E93" s="2"/>
      <c r="F93" s="5"/>
      <c r="G93" s="2"/>
      <c r="H93" s="2"/>
      <c r="I93" s="5"/>
      <c r="J93" s="3"/>
      <c r="K93" s="5"/>
      <c r="L93" s="4"/>
      <c r="M93" s="2"/>
      <c r="N93" s="2"/>
      <c r="O93" s="5"/>
      <c r="P93" s="5"/>
      <c r="Q93" s="5"/>
      <c r="R93" s="5"/>
      <c r="S93" s="4"/>
      <c r="T93" s="2"/>
      <c r="U93" s="2"/>
      <c r="V93" s="2"/>
      <c r="W93" s="2"/>
      <c r="X93" s="6"/>
      <c r="Y93" s="162"/>
      <c r="Z93" s="163"/>
      <c r="AA93" s="162"/>
      <c r="AB93" s="162"/>
      <c r="AC93" s="162"/>
      <c r="AD93" s="163"/>
      <c r="AE93" s="163"/>
      <c r="AF93" s="163"/>
    </row>
    <row r="94" spans="1:32" ht="16.5" customHeight="1" x14ac:dyDescent="0.2">
      <c r="A94" s="2"/>
      <c r="B94" s="5"/>
      <c r="C94" s="2"/>
      <c r="D94" s="5"/>
      <c r="E94" s="2"/>
      <c r="F94" s="5"/>
      <c r="G94" s="2"/>
      <c r="H94" s="2"/>
      <c r="I94" s="5"/>
      <c r="J94" s="3"/>
      <c r="K94" s="5"/>
      <c r="L94" s="4"/>
      <c r="M94" s="2"/>
      <c r="N94" s="2"/>
      <c r="O94" s="5"/>
      <c r="P94" s="5"/>
      <c r="Q94" s="5"/>
      <c r="R94" s="5"/>
      <c r="S94" s="4"/>
      <c r="T94" s="2"/>
      <c r="U94" s="2"/>
      <c r="V94" s="2"/>
      <c r="W94" s="2"/>
      <c r="X94" s="6"/>
      <c r="Y94" s="162"/>
      <c r="Z94" s="163"/>
      <c r="AA94" s="162"/>
      <c r="AB94" s="162"/>
      <c r="AC94" s="162"/>
      <c r="AD94" s="163"/>
      <c r="AE94" s="163"/>
      <c r="AF94" s="163"/>
    </row>
    <row r="95" spans="1:32" ht="16.5" customHeight="1" x14ac:dyDescent="0.2">
      <c r="A95" s="2"/>
      <c r="B95" s="5"/>
      <c r="C95" s="2"/>
      <c r="D95" s="5"/>
      <c r="E95" s="2"/>
      <c r="F95" s="5"/>
      <c r="G95" s="2"/>
      <c r="H95" s="2"/>
      <c r="I95" s="5"/>
      <c r="J95" s="3"/>
      <c r="K95" s="5"/>
      <c r="L95" s="4"/>
      <c r="M95" s="2"/>
      <c r="N95" s="2"/>
      <c r="O95" s="5"/>
      <c r="P95" s="5"/>
      <c r="Q95" s="5"/>
      <c r="R95" s="5"/>
      <c r="S95" s="4"/>
      <c r="T95" s="2"/>
      <c r="U95" s="2"/>
      <c r="V95" s="2"/>
      <c r="W95" s="2"/>
      <c r="X95" s="6"/>
      <c r="Y95" s="162"/>
      <c r="Z95" s="163"/>
      <c r="AA95" s="162"/>
      <c r="AB95" s="162"/>
      <c r="AC95" s="162"/>
      <c r="AD95" s="163"/>
      <c r="AE95" s="163"/>
      <c r="AF95" s="163"/>
    </row>
    <row r="96" spans="1:32" ht="16.5" customHeight="1" x14ac:dyDescent="0.2">
      <c r="A96" s="2"/>
      <c r="B96" s="5"/>
      <c r="C96" s="2"/>
      <c r="D96" s="5"/>
      <c r="E96" s="2"/>
      <c r="F96" s="5"/>
      <c r="G96" s="2"/>
      <c r="H96" s="2"/>
      <c r="I96" s="5"/>
      <c r="J96" s="3"/>
      <c r="K96" s="5"/>
      <c r="L96" s="4"/>
      <c r="M96" s="2"/>
      <c r="N96" s="2"/>
      <c r="O96" s="5"/>
      <c r="P96" s="5"/>
      <c r="Q96" s="5"/>
      <c r="R96" s="5"/>
      <c r="S96" s="4"/>
      <c r="T96" s="2"/>
      <c r="U96" s="2"/>
      <c r="V96" s="2"/>
      <c r="W96" s="2"/>
      <c r="X96" s="6"/>
      <c r="Y96" s="162"/>
      <c r="Z96" s="163"/>
      <c r="AA96" s="162"/>
      <c r="AB96" s="162"/>
      <c r="AC96" s="162"/>
      <c r="AD96" s="163"/>
      <c r="AE96" s="163"/>
      <c r="AF96" s="163"/>
    </row>
    <row r="97" spans="1:32" ht="16.5" customHeight="1" x14ac:dyDescent="0.2">
      <c r="A97" s="2"/>
      <c r="B97" s="5"/>
      <c r="C97" s="2"/>
      <c r="D97" s="5"/>
      <c r="E97" s="2"/>
      <c r="F97" s="5"/>
      <c r="G97" s="2"/>
      <c r="H97" s="2"/>
      <c r="I97" s="5"/>
      <c r="J97" s="3"/>
      <c r="K97" s="5"/>
      <c r="L97" s="4"/>
      <c r="M97" s="2"/>
      <c r="N97" s="2"/>
      <c r="O97" s="5"/>
      <c r="P97" s="5"/>
      <c r="Q97" s="5"/>
      <c r="R97" s="5"/>
      <c r="S97" s="4"/>
      <c r="T97" s="2"/>
      <c r="U97" s="2"/>
      <c r="V97" s="2"/>
      <c r="W97" s="2"/>
      <c r="X97" s="6"/>
      <c r="Y97" s="162"/>
      <c r="Z97" s="163"/>
      <c r="AA97" s="162"/>
      <c r="AB97" s="162"/>
      <c r="AC97" s="162"/>
      <c r="AD97" s="163"/>
      <c r="AE97" s="163"/>
      <c r="AF97" s="163"/>
    </row>
    <row r="98" spans="1:32" ht="16.5" customHeight="1" x14ac:dyDescent="0.2">
      <c r="A98" s="2"/>
      <c r="B98" s="5"/>
      <c r="C98" s="2"/>
      <c r="D98" s="5"/>
      <c r="E98" s="2"/>
      <c r="F98" s="5"/>
      <c r="G98" s="2"/>
      <c r="H98" s="2"/>
      <c r="I98" s="5"/>
      <c r="J98" s="3"/>
      <c r="K98" s="5"/>
      <c r="L98" s="4"/>
      <c r="M98" s="2"/>
      <c r="N98" s="2"/>
      <c r="O98" s="5"/>
      <c r="P98" s="5"/>
      <c r="Q98" s="5"/>
      <c r="R98" s="5"/>
      <c r="S98" s="4"/>
      <c r="T98" s="2"/>
      <c r="U98" s="2"/>
      <c r="V98" s="2"/>
      <c r="W98" s="2"/>
      <c r="X98" s="6"/>
      <c r="Y98" s="162"/>
      <c r="Z98" s="163"/>
      <c r="AA98" s="162"/>
      <c r="AB98" s="162"/>
      <c r="AC98" s="162"/>
      <c r="AD98" s="163"/>
      <c r="AE98" s="163"/>
      <c r="AF98" s="163"/>
    </row>
    <row r="99" spans="1:32" ht="16.5" customHeight="1" x14ac:dyDescent="0.2">
      <c r="A99" s="2"/>
      <c r="B99" s="5"/>
      <c r="C99" s="2"/>
      <c r="D99" s="5"/>
      <c r="E99" s="2"/>
      <c r="F99" s="5"/>
      <c r="G99" s="2"/>
      <c r="H99" s="2"/>
      <c r="I99" s="5"/>
      <c r="J99" s="3"/>
      <c r="K99" s="5"/>
      <c r="L99" s="4"/>
      <c r="M99" s="2"/>
      <c r="N99" s="2"/>
      <c r="O99" s="5"/>
      <c r="P99" s="5"/>
      <c r="Q99" s="5"/>
      <c r="R99" s="5"/>
      <c r="S99" s="4"/>
      <c r="T99" s="2"/>
      <c r="U99" s="2"/>
      <c r="V99" s="2"/>
      <c r="W99" s="2"/>
      <c r="X99" s="6"/>
      <c r="Y99" s="162"/>
      <c r="Z99" s="163"/>
      <c r="AA99" s="162"/>
      <c r="AB99" s="162"/>
      <c r="AC99" s="162"/>
      <c r="AD99" s="163"/>
      <c r="AE99" s="163"/>
      <c r="AF99" s="163"/>
    </row>
    <row r="100" spans="1:32" ht="16.5" customHeight="1" x14ac:dyDescent="0.2">
      <c r="A100" s="2"/>
      <c r="B100" s="5"/>
      <c r="C100" s="2"/>
      <c r="D100" s="5"/>
      <c r="E100" s="2"/>
      <c r="F100" s="5"/>
      <c r="G100" s="2"/>
      <c r="H100" s="2"/>
      <c r="I100" s="5"/>
      <c r="J100" s="3"/>
      <c r="K100" s="5"/>
      <c r="L100" s="4"/>
      <c r="M100" s="2"/>
      <c r="N100" s="2"/>
      <c r="O100" s="5"/>
      <c r="P100" s="5"/>
      <c r="Q100" s="5"/>
      <c r="R100" s="5"/>
      <c r="S100" s="4"/>
      <c r="T100" s="2"/>
      <c r="U100" s="2"/>
      <c r="V100" s="2"/>
      <c r="W100" s="2"/>
      <c r="X100" s="6"/>
      <c r="Y100" s="162"/>
      <c r="Z100" s="163"/>
      <c r="AA100" s="162"/>
      <c r="AB100" s="162"/>
      <c r="AC100" s="162"/>
      <c r="AD100" s="163"/>
      <c r="AE100" s="163"/>
      <c r="AF100" s="163"/>
    </row>
    <row r="101" spans="1:32" ht="16.5" customHeight="1" x14ac:dyDescent="0.2">
      <c r="A101" s="2"/>
      <c r="B101" s="5"/>
      <c r="C101" s="2"/>
      <c r="D101" s="5"/>
      <c r="E101" s="2"/>
      <c r="F101" s="5"/>
      <c r="G101" s="2"/>
      <c r="H101" s="2"/>
      <c r="I101" s="5"/>
      <c r="J101" s="3"/>
      <c r="K101" s="5"/>
      <c r="L101" s="4"/>
      <c r="M101" s="2"/>
      <c r="N101" s="2"/>
      <c r="O101" s="5"/>
      <c r="P101" s="5"/>
      <c r="Q101" s="5"/>
      <c r="R101" s="5"/>
      <c r="S101" s="4"/>
      <c r="T101" s="2"/>
      <c r="U101" s="2"/>
      <c r="V101" s="2"/>
      <c r="W101" s="2"/>
      <c r="X101" s="6"/>
      <c r="Y101" s="162"/>
      <c r="Z101" s="163"/>
      <c r="AA101" s="162"/>
      <c r="AB101" s="162"/>
      <c r="AC101" s="162"/>
      <c r="AD101" s="163"/>
      <c r="AE101" s="163"/>
      <c r="AF101" s="163"/>
    </row>
    <row r="102" spans="1:32" ht="16.5" customHeight="1" x14ac:dyDescent="0.2">
      <c r="A102" s="2"/>
      <c r="B102" s="5"/>
      <c r="C102" s="2"/>
      <c r="D102" s="5"/>
      <c r="E102" s="2"/>
      <c r="F102" s="5"/>
      <c r="G102" s="2"/>
      <c r="H102" s="2"/>
      <c r="I102" s="5"/>
      <c r="J102" s="3"/>
      <c r="K102" s="5"/>
      <c r="L102" s="4"/>
      <c r="M102" s="2"/>
      <c r="N102" s="2"/>
      <c r="O102" s="5"/>
      <c r="P102" s="5"/>
      <c r="Q102" s="5"/>
      <c r="R102" s="5"/>
      <c r="S102" s="4"/>
      <c r="T102" s="2"/>
      <c r="U102" s="2"/>
      <c r="V102" s="2"/>
      <c r="W102" s="2"/>
      <c r="X102" s="6"/>
      <c r="Y102" s="162"/>
      <c r="Z102" s="163"/>
      <c r="AA102" s="162"/>
      <c r="AB102" s="162"/>
      <c r="AC102" s="162"/>
      <c r="AD102" s="163"/>
      <c r="AE102" s="163"/>
      <c r="AF102" s="163"/>
    </row>
    <row r="103" spans="1:32" ht="16.5" customHeight="1" x14ac:dyDescent="0.2">
      <c r="A103" s="2"/>
      <c r="B103" s="5"/>
      <c r="C103" s="2"/>
      <c r="D103" s="5"/>
      <c r="E103" s="2"/>
      <c r="F103" s="5"/>
      <c r="G103" s="2"/>
      <c r="H103" s="2"/>
      <c r="I103" s="5"/>
      <c r="J103" s="3"/>
      <c r="K103" s="5"/>
      <c r="L103" s="4"/>
      <c r="M103" s="2"/>
      <c r="N103" s="2"/>
      <c r="O103" s="5"/>
      <c r="P103" s="5"/>
      <c r="Q103" s="5"/>
      <c r="R103" s="5"/>
      <c r="S103" s="4"/>
      <c r="T103" s="2"/>
      <c r="U103" s="2"/>
      <c r="V103" s="2"/>
      <c r="W103" s="2"/>
      <c r="X103" s="6"/>
      <c r="Y103" s="162"/>
      <c r="Z103" s="163"/>
      <c r="AA103" s="162"/>
      <c r="AB103" s="162"/>
      <c r="AC103" s="162"/>
      <c r="AD103" s="163"/>
      <c r="AE103" s="163"/>
      <c r="AF103" s="163"/>
    </row>
    <row r="104" spans="1:32" ht="16.5" customHeight="1" x14ac:dyDescent="0.2">
      <c r="A104" s="2"/>
      <c r="B104" s="5"/>
      <c r="C104" s="2"/>
      <c r="D104" s="5"/>
      <c r="E104" s="2"/>
      <c r="F104" s="5"/>
      <c r="G104" s="2"/>
      <c r="H104" s="2"/>
      <c r="I104" s="5"/>
      <c r="J104" s="3"/>
      <c r="K104" s="5"/>
      <c r="L104" s="4"/>
      <c r="M104" s="2"/>
      <c r="N104" s="2"/>
      <c r="O104" s="5"/>
      <c r="P104" s="5"/>
      <c r="Q104" s="5"/>
      <c r="R104" s="5"/>
      <c r="S104" s="4"/>
      <c r="T104" s="2"/>
      <c r="U104" s="2"/>
      <c r="V104" s="2"/>
      <c r="W104" s="2"/>
      <c r="X104" s="6"/>
      <c r="Y104" s="162"/>
      <c r="Z104" s="163"/>
      <c r="AA104" s="162"/>
      <c r="AB104" s="162"/>
      <c r="AC104" s="162"/>
      <c r="AD104" s="163"/>
      <c r="AE104" s="163"/>
      <c r="AF104" s="163"/>
    </row>
    <row r="105" spans="1:32" ht="16.5" customHeight="1" x14ac:dyDescent="0.2">
      <c r="A105" s="2"/>
      <c r="B105" s="5"/>
      <c r="C105" s="2"/>
      <c r="D105" s="5"/>
      <c r="E105" s="2"/>
      <c r="F105" s="5"/>
      <c r="G105" s="2"/>
      <c r="H105" s="2"/>
      <c r="I105" s="5"/>
      <c r="J105" s="3"/>
      <c r="K105" s="5"/>
      <c r="L105" s="4"/>
      <c r="M105" s="2"/>
      <c r="N105" s="2"/>
      <c r="O105" s="5"/>
      <c r="P105" s="5"/>
      <c r="Q105" s="5"/>
      <c r="R105" s="5"/>
      <c r="S105" s="4"/>
      <c r="T105" s="2"/>
      <c r="U105" s="2"/>
      <c r="V105" s="2"/>
      <c r="W105" s="2"/>
      <c r="X105" s="6"/>
      <c r="Y105" s="162"/>
      <c r="Z105" s="163"/>
      <c r="AA105" s="162"/>
      <c r="AB105" s="162"/>
      <c r="AC105" s="162"/>
      <c r="AD105" s="163"/>
      <c r="AE105" s="163"/>
      <c r="AF105" s="163"/>
    </row>
    <row r="106" spans="1:32" ht="16.5" customHeight="1" x14ac:dyDescent="0.2">
      <c r="A106" s="2"/>
      <c r="B106" s="5"/>
      <c r="C106" s="2"/>
      <c r="D106" s="5"/>
      <c r="E106" s="2"/>
      <c r="F106" s="5"/>
      <c r="G106" s="2"/>
      <c r="H106" s="2"/>
      <c r="I106" s="5"/>
      <c r="J106" s="3"/>
      <c r="K106" s="5"/>
      <c r="L106" s="4"/>
      <c r="M106" s="2"/>
      <c r="N106" s="2"/>
      <c r="O106" s="5"/>
      <c r="P106" s="5"/>
      <c r="Q106" s="5"/>
      <c r="R106" s="5"/>
      <c r="S106" s="4"/>
      <c r="T106" s="2"/>
      <c r="U106" s="2"/>
      <c r="V106" s="2"/>
      <c r="W106" s="2"/>
      <c r="X106" s="6"/>
      <c r="Y106" s="162"/>
      <c r="Z106" s="163"/>
      <c r="AA106" s="162"/>
      <c r="AB106" s="162"/>
      <c r="AC106" s="162"/>
      <c r="AD106" s="163"/>
      <c r="AE106" s="163"/>
      <c r="AF106" s="163"/>
    </row>
    <row r="107" spans="1:32" ht="16.5" customHeight="1" x14ac:dyDescent="0.2">
      <c r="A107" s="2"/>
      <c r="B107" s="5"/>
      <c r="C107" s="2"/>
      <c r="D107" s="5"/>
      <c r="E107" s="2"/>
      <c r="F107" s="5"/>
      <c r="G107" s="2"/>
      <c r="H107" s="2"/>
      <c r="I107" s="5"/>
      <c r="J107" s="3"/>
      <c r="K107" s="5"/>
      <c r="L107" s="4"/>
      <c r="M107" s="2"/>
      <c r="N107" s="2"/>
      <c r="O107" s="5"/>
      <c r="P107" s="5"/>
      <c r="Q107" s="5"/>
      <c r="R107" s="5"/>
      <c r="S107" s="4"/>
      <c r="T107" s="2"/>
      <c r="U107" s="2"/>
      <c r="V107" s="2"/>
      <c r="W107" s="2"/>
      <c r="X107" s="6"/>
      <c r="Y107" s="162"/>
      <c r="Z107" s="163"/>
      <c r="AA107" s="162"/>
      <c r="AB107" s="162"/>
      <c r="AC107" s="162"/>
      <c r="AD107" s="163"/>
      <c r="AE107" s="163"/>
      <c r="AF107" s="163"/>
    </row>
    <row r="108" spans="1:32" ht="16.5" customHeight="1" x14ac:dyDescent="0.2">
      <c r="A108" s="2"/>
      <c r="B108" s="5"/>
      <c r="C108" s="2"/>
      <c r="D108" s="5"/>
      <c r="E108" s="2"/>
      <c r="F108" s="5"/>
      <c r="G108" s="2"/>
      <c r="H108" s="2"/>
      <c r="I108" s="5"/>
      <c r="J108" s="3"/>
      <c r="K108" s="5"/>
      <c r="L108" s="4"/>
      <c r="M108" s="2"/>
      <c r="N108" s="2"/>
      <c r="O108" s="5"/>
      <c r="P108" s="5"/>
      <c r="Q108" s="5"/>
      <c r="R108" s="5"/>
      <c r="S108" s="4"/>
      <c r="T108" s="2"/>
      <c r="U108" s="2"/>
      <c r="V108" s="2"/>
      <c r="W108" s="2"/>
      <c r="X108" s="6"/>
      <c r="Y108" s="162"/>
      <c r="Z108" s="163"/>
      <c r="AA108" s="162"/>
      <c r="AB108" s="162"/>
      <c r="AC108" s="162"/>
      <c r="AD108" s="163"/>
      <c r="AE108" s="163"/>
      <c r="AF108" s="163"/>
    </row>
    <row r="109" spans="1:32" ht="16.5" customHeight="1" x14ac:dyDescent="0.2">
      <c r="A109" s="2"/>
      <c r="B109" s="5"/>
      <c r="C109" s="2"/>
      <c r="D109" s="5"/>
      <c r="E109" s="2"/>
      <c r="F109" s="5"/>
      <c r="G109" s="2"/>
      <c r="H109" s="2"/>
      <c r="I109" s="5"/>
      <c r="J109" s="3"/>
      <c r="K109" s="5"/>
      <c r="L109" s="4"/>
      <c r="M109" s="2"/>
      <c r="N109" s="2"/>
      <c r="O109" s="5"/>
      <c r="P109" s="5"/>
      <c r="Q109" s="5"/>
      <c r="R109" s="5"/>
      <c r="S109" s="4"/>
      <c r="T109" s="2"/>
      <c r="U109" s="2"/>
      <c r="V109" s="2"/>
      <c r="W109" s="2"/>
      <c r="X109" s="6"/>
      <c r="Y109" s="162"/>
      <c r="Z109" s="163"/>
      <c r="AA109" s="162"/>
      <c r="AB109" s="162"/>
      <c r="AC109" s="162"/>
      <c r="AD109" s="163"/>
      <c r="AE109" s="163"/>
      <c r="AF109" s="163"/>
    </row>
    <row r="110" spans="1:32" ht="16.5" customHeight="1" x14ac:dyDescent="0.2">
      <c r="A110" s="2"/>
      <c r="B110" s="5"/>
      <c r="C110" s="2"/>
      <c r="D110" s="5"/>
      <c r="E110" s="2"/>
      <c r="F110" s="5"/>
      <c r="G110" s="2"/>
      <c r="H110" s="2"/>
      <c r="I110" s="5"/>
      <c r="J110" s="3"/>
      <c r="K110" s="5"/>
      <c r="L110" s="4"/>
      <c r="M110" s="2"/>
      <c r="N110" s="2"/>
      <c r="O110" s="5"/>
      <c r="P110" s="5"/>
      <c r="Q110" s="5"/>
      <c r="R110" s="5"/>
      <c r="S110" s="4"/>
      <c r="T110" s="2"/>
      <c r="U110" s="2"/>
      <c r="V110" s="2"/>
      <c r="W110" s="2"/>
      <c r="X110" s="6"/>
      <c r="Y110" s="162"/>
      <c r="Z110" s="163"/>
      <c r="AA110" s="162"/>
      <c r="AB110" s="162"/>
      <c r="AC110" s="162"/>
      <c r="AD110" s="163"/>
      <c r="AE110" s="163"/>
      <c r="AF110" s="163"/>
    </row>
    <row r="111" spans="1:32" ht="16.5" customHeight="1" x14ac:dyDescent="0.2">
      <c r="A111" s="2"/>
      <c r="B111" s="5"/>
      <c r="C111" s="2"/>
      <c r="D111" s="5"/>
      <c r="E111" s="2"/>
      <c r="F111" s="5"/>
      <c r="G111" s="2"/>
      <c r="H111" s="2"/>
      <c r="I111" s="5"/>
      <c r="J111" s="3"/>
      <c r="K111" s="5"/>
      <c r="L111" s="4"/>
      <c r="M111" s="2"/>
      <c r="N111" s="2"/>
      <c r="O111" s="5"/>
      <c r="P111" s="5"/>
      <c r="Q111" s="5"/>
      <c r="R111" s="5"/>
      <c r="S111" s="4"/>
      <c r="T111" s="2"/>
      <c r="U111" s="2"/>
      <c r="V111" s="2"/>
      <c r="W111" s="2"/>
      <c r="X111" s="6"/>
      <c r="Y111" s="162"/>
      <c r="Z111" s="163"/>
      <c r="AA111" s="162"/>
      <c r="AB111" s="162"/>
      <c r="AC111" s="162"/>
      <c r="AD111" s="163"/>
      <c r="AE111" s="163"/>
      <c r="AF111" s="163"/>
    </row>
    <row r="112" spans="1:32" ht="16.5" customHeight="1" x14ac:dyDescent="0.2">
      <c r="A112" s="2"/>
      <c r="B112" s="5"/>
      <c r="C112" s="2"/>
      <c r="D112" s="5"/>
      <c r="E112" s="2"/>
      <c r="F112" s="5"/>
      <c r="G112" s="2"/>
      <c r="H112" s="2"/>
      <c r="I112" s="5"/>
      <c r="J112" s="3"/>
      <c r="K112" s="5"/>
      <c r="L112" s="4"/>
      <c r="M112" s="2"/>
      <c r="N112" s="2"/>
      <c r="O112" s="5"/>
      <c r="P112" s="5"/>
      <c r="Q112" s="5"/>
      <c r="R112" s="5"/>
      <c r="S112" s="4"/>
      <c r="T112" s="2"/>
      <c r="U112" s="2"/>
      <c r="V112" s="2"/>
      <c r="W112" s="2"/>
      <c r="X112" s="6"/>
      <c r="Y112" s="162"/>
      <c r="Z112" s="163"/>
      <c r="AA112" s="162"/>
      <c r="AB112" s="162"/>
      <c r="AC112" s="162"/>
      <c r="AD112" s="163"/>
      <c r="AE112" s="163"/>
      <c r="AF112" s="163"/>
    </row>
    <row r="113" spans="1:32" ht="16.5" customHeight="1" x14ac:dyDescent="0.2">
      <c r="A113" s="2"/>
      <c r="B113" s="5"/>
      <c r="C113" s="2"/>
      <c r="D113" s="5"/>
      <c r="E113" s="2"/>
      <c r="F113" s="5"/>
      <c r="G113" s="2"/>
      <c r="H113" s="2"/>
      <c r="I113" s="5"/>
      <c r="J113" s="3"/>
      <c r="K113" s="5"/>
      <c r="L113" s="4"/>
      <c r="M113" s="2"/>
      <c r="N113" s="2"/>
      <c r="O113" s="5"/>
      <c r="P113" s="5"/>
      <c r="Q113" s="5"/>
      <c r="R113" s="5"/>
      <c r="S113" s="4"/>
      <c r="T113" s="2"/>
      <c r="U113" s="2"/>
      <c r="V113" s="2"/>
      <c r="W113" s="2"/>
      <c r="X113" s="6"/>
      <c r="Y113" s="162"/>
      <c r="Z113" s="163"/>
      <c r="AA113" s="162"/>
      <c r="AB113" s="162"/>
      <c r="AC113" s="162"/>
      <c r="AD113" s="163"/>
      <c r="AE113" s="163"/>
      <c r="AF113" s="163"/>
    </row>
    <row r="114" spans="1:32" ht="16.5" customHeight="1" x14ac:dyDescent="0.2">
      <c r="A114" s="2"/>
      <c r="B114" s="5"/>
      <c r="C114" s="2"/>
      <c r="D114" s="5"/>
      <c r="E114" s="2"/>
      <c r="F114" s="5"/>
      <c r="G114" s="2"/>
      <c r="H114" s="2"/>
      <c r="I114" s="5"/>
      <c r="J114" s="3"/>
      <c r="K114" s="5"/>
      <c r="L114" s="4"/>
      <c r="M114" s="2"/>
      <c r="N114" s="2"/>
      <c r="O114" s="5"/>
      <c r="P114" s="5"/>
      <c r="Q114" s="5"/>
      <c r="R114" s="5"/>
      <c r="S114" s="4"/>
      <c r="T114" s="2"/>
      <c r="U114" s="2"/>
      <c r="V114" s="2"/>
      <c r="W114" s="2"/>
      <c r="X114" s="6"/>
      <c r="Y114" s="162"/>
      <c r="Z114" s="163"/>
      <c r="AA114" s="162"/>
      <c r="AB114" s="162"/>
      <c r="AC114" s="162"/>
      <c r="AD114" s="163"/>
      <c r="AE114" s="163"/>
      <c r="AF114" s="163"/>
    </row>
    <row r="115" spans="1:32" ht="16.5" customHeight="1" x14ac:dyDescent="0.2">
      <c r="A115" s="2"/>
      <c r="B115" s="5"/>
      <c r="C115" s="2"/>
      <c r="D115" s="5"/>
      <c r="E115" s="2"/>
      <c r="F115" s="5"/>
      <c r="G115" s="2"/>
      <c r="H115" s="2"/>
      <c r="I115" s="5"/>
      <c r="J115" s="3"/>
      <c r="K115" s="5"/>
      <c r="L115" s="4"/>
      <c r="M115" s="2"/>
      <c r="N115" s="2"/>
      <c r="O115" s="5"/>
      <c r="P115" s="5"/>
      <c r="Q115" s="5"/>
      <c r="R115" s="5"/>
      <c r="S115" s="4"/>
      <c r="T115" s="2"/>
      <c r="U115" s="2"/>
      <c r="V115" s="2"/>
      <c r="W115" s="2"/>
      <c r="X115" s="6"/>
      <c r="Y115" s="162"/>
      <c r="Z115" s="163"/>
      <c r="AA115" s="162"/>
      <c r="AB115" s="162"/>
      <c r="AC115" s="162"/>
      <c r="AD115" s="163"/>
      <c r="AE115" s="163"/>
      <c r="AF115" s="163"/>
    </row>
    <row r="116" spans="1:32" ht="16.5" customHeight="1" x14ac:dyDescent="0.2">
      <c r="A116" s="2"/>
      <c r="B116" s="5"/>
      <c r="C116" s="2"/>
      <c r="D116" s="5"/>
      <c r="E116" s="2"/>
      <c r="F116" s="5"/>
      <c r="G116" s="2"/>
      <c r="H116" s="2"/>
      <c r="I116" s="5"/>
      <c r="J116" s="3"/>
      <c r="K116" s="5"/>
      <c r="L116" s="4"/>
      <c r="M116" s="2"/>
      <c r="N116" s="2"/>
      <c r="O116" s="5"/>
      <c r="P116" s="5"/>
      <c r="Q116" s="5"/>
      <c r="R116" s="5"/>
      <c r="S116" s="4"/>
      <c r="T116" s="2"/>
      <c r="U116" s="2"/>
      <c r="V116" s="2"/>
      <c r="W116" s="2"/>
      <c r="X116" s="6"/>
      <c r="Y116" s="162"/>
      <c r="Z116" s="163"/>
      <c r="AA116" s="162"/>
      <c r="AB116" s="162"/>
      <c r="AC116" s="162"/>
      <c r="AD116" s="163"/>
      <c r="AE116" s="163"/>
      <c r="AF116" s="163"/>
    </row>
    <row r="117" spans="1:32" ht="16.5" customHeight="1" x14ac:dyDescent="0.2">
      <c r="A117" s="2"/>
      <c r="B117" s="5"/>
      <c r="C117" s="2"/>
      <c r="D117" s="5"/>
      <c r="E117" s="2"/>
      <c r="F117" s="5"/>
      <c r="G117" s="2"/>
      <c r="H117" s="2"/>
      <c r="I117" s="5"/>
      <c r="J117" s="3"/>
      <c r="K117" s="5"/>
      <c r="L117" s="4"/>
      <c r="M117" s="2"/>
      <c r="N117" s="2"/>
      <c r="O117" s="5"/>
      <c r="P117" s="5"/>
      <c r="Q117" s="5"/>
      <c r="R117" s="5"/>
      <c r="S117" s="4"/>
      <c r="T117" s="2"/>
      <c r="U117" s="2"/>
      <c r="V117" s="2"/>
      <c r="W117" s="2"/>
      <c r="X117" s="6"/>
      <c r="Y117" s="162"/>
      <c r="Z117" s="163"/>
      <c r="AA117" s="162"/>
      <c r="AB117" s="162"/>
      <c r="AC117" s="162"/>
      <c r="AD117" s="163"/>
      <c r="AE117" s="163"/>
      <c r="AF117" s="163"/>
    </row>
    <row r="118" spans="1:32" ht="16.5" customHeight="1" x14ac:dyDescent="0.2">
      <c r="A118" s="2"/>
      <c r="B118" s="5"/>
      <c r="C118" s="2"/>
      <c r="D118" s="5"/>
      <c r="E118" s="2"/>
      <c r="F118" s="5"/>
      <c r="G118" s="2"/>
      <c r="H118" s="2"/>
      <c r="I118" s="5"/>
      <c r="J118" s="3"/>
      <c r="K118" s="5"/>
      <c r="L118" s="4"/>
      <c r="M118" s="2"/>
      <c r="N118" s="2"/>
      <c r="O118" s="5"/>
      <c r="P118" s="5"/>
      <c r="Q118" s="5"/>
      <c r="R118" s="5"/>
      <c r="S118" s="4"/>
      <c r="T118" s="2"/>
      <c r="U118" s="2"/>
      <c r="V118" s="2"/>
      <c r="W118" s="2"/>
      <c r="X118" s="6"/>
      <c r="Y118" s="162"/>
      <c r="Z118" s="163"/>
      <c r="AA118" s="162"/>
      <c r="AB118" s="162"/>
      <c r="AC118" s="162"/>
      <c r="AD118" s="163"/>
      <c r="AE118" s="163"/>
      <c r="AF118" s="163"/>
    </row>
    <row r="119" spans="1:32" ht="16.5" customHeight="1" x14ac:dyDescent="0.2">
      <c r="A119" s="2"/>
      <c r="B119" s="5"/>
      <c r="C119" s="2"/>
      <c r="D119" s="5"/>
      <c r="E119" s="2"/>
      <c r="F119" s="5"/>
      <c r="G119" s="2"/>
      <c r="H119" s="2"/>
      <c r="I119" s="5"/>
      <c r="J119" s="3"/>
      <c r="K119" s="5"/>
      <c r="L119" s="4"/>
      <c r="M119" s="2"/>
      <c r="N119" s="2"/>
      <c r="O119" s="5"/>
      <c r="P119" s="5"/>
      <c r="Q119" s="5"/>
      <c r="R119" s="5"/>
      <c r="S119" s="4"/>
      <c r="T119" s="2"/>
      <c r="U119" s="2"/>
      <c r="V119" s="2"/>
      <c r="W119" s="2"/>
      <c r="X119" s="6"/>
      <c r="Y119" s="162"/>
      <c r="Z119" s="163"/>
      <c r="AA119" s="162"/>
      <c r="AB119" s="162"/>
      <c r="AC119" s="162"/>
      <c r="AD119" s="163"/>
      <c r="AE119" s="163"/>
      <c r="AF119" s="163"/>
    </row>
    <row r="120" spans="1:32" ht="16.5" customHeight="1" x14ac:dyDescent="0.2">
      <c r="A120" s="2"/>
      <c r="B120" s="5"/>
      <c r="C120" s="2"/>
      <c r="D120" s="5"/>
      <c r="E120" s="2"/>
      <c r="F120" s="5"/>
      <c r="G120" s="2"/>
      <c r="H120" s="2"/>
      <c r="I120" s="5"/>
      <c r="J120" s="3"/>
      <c r="K120" s="5"/>
      <c r="L120" s="4"/>
      <c r="M120" s="2"/>
      <c r="N120" s="2"/>
      <c r="O120" s="5"/>
      <c r="P120" s="5"/>
      <c r="Q120" s="5"/>
      <c r="R120" s="5"/>
      <c r="S120" s="4"/>
      <c r="T120" s="2"/>
      <c r="U120" s="2"/>
      <c r="V120" s="2"/>
      <c r="W120" s="2"/>
      <c r="X120" s="6"/>
      <c r="Y120" s="162"/>
      <c r="Z120" s="163"/>
      <c r="AA120" s="162"/>
      <c r="AB120" s="162"/>
      <c r="AC120" s="162"/>
      <c r="AD120" s="163"/>
      <c r="AE120" s="163"/>
      <c r="AF120" s="163"/>
    </row>
    <row r="121" spans="1:32" ht="16.5" customHeight="1" x14ac:dyDescent="0.2">
      <c r="A121" s="2"/>
      <c r="B121" s="5"/>
      <c r="C121" s="2"/>
      <c r="D121" s="5"/>
      <c r="E121" s="2"/>
      <c r="F121" s="5"/>
      <c r="G121" s="2"/>
      <c r="H121" s="2"/>
      <c r="I121" s="5"/>
      <c r="J121" s="3"/>
      <c r="K121" s="5"/>
      <c r="L121" s="4"/>
      <c r="M121" s="2"/>
      <c r="N121" s="2"/>
      <c r="O121" s="5"/>
      <c r="P121" s="5"/>
      <c r="Q121" s="5"/>
      <c r="R121" s="5"/>
      <c r="S121" s="4"/>
      <c r="T121" s="2"/>
      <c r="U121" s="2"/>
      <c r="V121" s="2"/>
      <c r="W121" s="2"/>
      <c r="X121" s="6"/>
      <c r="Y121" s="162"/>
      <c r="Z121" s="163"/>
      <c r="AA121" s="162"/>
      <c r="AB121" s="162"/>
      <c r="AC121" s="162"/>
      <c r="AD121" s="163"/>
      <c r="AE121" s="163"/>
      <c r="AF121" s="163"/>
    </row>
    <row r="122" spans="1:32" ht="16.5" customHeight="1" x14ac:dyDescent="0.2">
      <c r="A122" s="2"/>
      <c r="B122" s="5"/>
      <c r="C122" s="2"/>
      <c r="D122" s="5"/>
      <c r="E122" s="2"/>
      <c r="F122" s="5"/>
      <c r="G122" s="2"/>
      <c r="H122" s="2"/>
      <c r="I122" s="5"/>
      <c r="J122" s="3"/>
      <c r="K122" s="5"/>
      <c r="L122" s="4"/>
      <c r="M122" s="2"/>
      <c r="N122" s="2"/>
      <c r="O122" s="5"/>
      <c r="P122" s="5"/>
      <c r="Q122" s="5"/>
      <c r="R122" s="5"/>
      <c r="S122" s="4"/>
      <c r="T122" s="2"/>
      <c r="U122" s="2"/>
      <c r="V122" s="2"/>
      <c r="W122" s="2"/>
      <c r="X122" s="6"/>
      <c r="Y122" s="162"/>
      <c r="Z122" s="163"/>
      <c r="AA122" s="162"/>
      <c r="AB122" s="162"/>
      <c r="AC122" s="162"/>
      <c r="AD122" s="163"/>
      <c r="AE122" s="163"/>
      <c r="AF122" s="163"/>
    </row>
    <row r="123" spans="1:32" ht="16.5" customHeight="1" x14ac:dyDescent="0.2">
      <c r="A123" s="2"/>
      <c r="B123" s="5"/>
      <c r="C123" s="2"/>
      <c r="D123" s="5"/>
      <c r="E123" s="2"/>
      <c r="F123" s="5"/>
      <c r="G123" s="2"/>
      <c r="H123" s="2"/>
      <c r="I123" s="5"/>
      <c r="J123" s="3"/>
      <c r="K123" s="5"/>
      <c r="L123" s="4"/>
      <c r="M123" s="2"/>
      <c r="N123" s="2"/>
      <c r="O123" s="5"/>
      <c r="P123" s="5"/>
      <c r="Q123" s="5"/>
      <c r="R123" s="5"/>
      <c r="S123" s="4"/>
      <c r="T123" s="2"/>
      <c r="U123" s="2"/>
      <c r="V123" s="2"/>
      <c r="W123" s="2"/>
      <c r="X123" s="6"/>
      <c r="Y123" s="162"/>
      <c r="Z123" s="163"/>
      <c r="AA123" s="162"/>
      <c r="AB123" s="162"/>
      <c r="AC123" s="162"/>
      <c r="AD123" s="163"/>
      <c r="AE123" s="163"/>
      <c r="AF123" s="163"/>
    </row>
    <row r="124" spans="1:32" ht="16.5" customHeight="1" x14ac:dyDescent="0.2">
      <c r="A124" s="2"/>
      <c r="B124" s="5"/>
      <c r="C124" s="2"/>
      <c r="D124" s="5"/>
      <c r="E124" s="2"/>
      <c r="F124" s="5"/>
      <c r="G124" s="2"/>
      <c r="H124" s="2"/>
      <c r="I124" s="5"/>
      <c r="J124" s="3"/>
      <c r="K124" s="5"/>
      <c r="L124" s="4"/>
      <c r="M124" s="2"/>
      <c r="N124" s="2"/>
      <c r="O124" s="5"/>
      <c r="P124" s="5"/>
      <c r="Q124" s="5"/>
      <c r="R124" s="5"/>
      <c r="S124" s="4"/>
      <c r="T124" s="2"/>
      <c r="U124" s="2"/>
      <c r="V124" s="2"/>
      <c r="W124" s="2"/>
      <c r="X124" s="6"/>
      <c r="Y124" s="162"/>
      <c r="Z124" s="163"/>
      <c r="AA124" s="162"/>
      <c r="AB124" s="162"/>
      <c r="AC124" s="162"/>
      <c r="AD124" s="163"/>
      <c r="AE124" s="163"/>
      <c r="AF124" s="163"/>
    </row>
    <row r="125" spans="1:32" ht="16.5" customHeight="1" x14ac:dyDescent="0.2">
      <c r="A125" s="2"/>
      <c r="B125" s="5"/>
      <c r="C125" s="2"/>
      <c r="D125" s="5"/>
      <c r="E125" s="2"/>
      <c r="F125" s="5"/>
      <c r="G125" s="2"/>
      <c r="H125" s="2"/>
      <c r="I125" s="5"/>
      <c r="J125" s="3"/>
      <c r="K125" s="5"/>
      <c r="L125" s="4"/>
      <c r="M125" s="2"/>
      <c r="N125" s="2"/>
      <c r="O125" s="5"/>
      <c r="P125" s="5"/>
      <c r="Q125" s="5"/>
      <c r="R125" s="5"/>
      <c r="S125" s="4"/>
      <c r="T125" s="2"/>
      <c r="U125" s="2"/>
      <c r="V125" s="2"/>
      <c r="W125" s="2"/>
      <c r="X125" s="6"/>
      <c r="Y125" s="162"/>
      <c r="Z125" s="163"/>
      <c r="AA125" s="162"/>
      <c r="AB125" s="162"/>
      <c r="AC125" s="162"/>
      <c r="AD125" s="163"/>
      <c r="AE125" s="163"/>
      <c r="AF125" s="163"/>
    </row>
    <row r="126" spans="1:32" ht="16.5" customHeight="1" x14ac:dyDescent="0.2">
      <c r="A126" s="2"/>
      <c r="B126" s="5"/>
      <c r="C126" s="2"/>
      <c r="D126" s="5"/>
      <c r="E126" s="2"/>
      <c r="F126" s="5"/>
      <c r="G126" s="2"/>
      <c r="H126" s="2"/>
      <c r="I126" s="5"/>
      <c r="J126" s="3"/>
      <c r="K126" s="5"/>
      <c r="L126" s="4"/>
      <c r="M126" s="2"/>
      <c r="N126" s="2"/>
      <c r="O126" s="5"/>
      <c r="P126" s="5"/>
      <c r="Q126" s="5"/>
      <c r="R126" s="5"/>
      <c r="S126" s="4"/>
      <c r="T126" s="2"/>
      <c r="U126" s="2"/>
      <c r="V126" s="2"/>
      <c r="W126" s="2"/>
      <c r="X126" s="6"/>
      <c r="Y126" s="162"/>
      <c r="Z126" s="163"/>
      <c r="AA126" s="162"/>
      <c r="AB126" s="162"/>
      <c r="AC126" s="162"/>
      <c r="AD126" s="163"/>
      <c r="AE126" s="163"/>
      <c r="AF126" s="163"/>
    </row>
    <row r="127" spans="1:32" ht="16.5" customHeight="1" x14ac:dyDescent="0.2">
      <c r="A127" s="2"/>
      <c r="B127" s="5"/>
      <c r="C127" s="2"/>
      <c r="D127" s="5"/>
      <c r="E127" s="2"/>
      <c r="F127" s="5"/>
      <c r="G127" s="2"/>
      <c r="H127" s="2"/>
      <c r="I127" s="5"/>
      <c r="J127" s="3"/>
      <c r="K127" s="5"/>
      <c r="L127" s="4"/>
      <c r="M127" s="2"/>
      <c r="N127" s="2"/>
      <c r="O127" s="5"/>
      <c r="P127" s="5"/>
      <c r="Q127" s="5"/>
      <c r="R127" s="5"/>
      <c r="S127" s="4"/>
      <c r="T127" s="2"/>
      <c r="U127" s="2"/>
      <c r="V127" s="2"/>
      <c r="W127" s="2"/>
      <c r="X127" s="6"/>
      <c r="Y127" s="162"/>
      <c r="Z127" s="163"/>
      <c r="AA127" s="162"/>
      <c r="AB127" s="162"/>
      <c r="AC127" s="162"/>
      <c r="AD127" s="163"/>
      <c r="AE127" s="163"/>
      <c r="AF127" s="163"/>
    </row>
    <row r="128" spans="1:32" ht="16.5" customHeight="1" x14ac:dyDescent="0.2">
      <c r="A128" s="2"/>
      <c r="B128" s="5"/>
      <c r="C128" s="2"/>
      <c r="D128" s="5"/>
      <c r="E128" s="2"/>
      <c r="F128" s="5"/>
      <c r="G128" s="2"/>
      <c r="H128" s="2"/>
      <c r="I128" s="5"/>
      <c r="J128" s="3"/>
      <c r="K128" s="5"/>
      <c r="L128" s="4"/>
      <c r="M128" s="2"/>
      <c r="N128" s="2"/>
      <c r="O128" s="5"/>
      <c r="P128" s="5"/>
      <c r="Q128" s="5"/>
      <c r="R128" s="5"/>
      <c r="S128" s="4"/>
      <c r="T128" s="2"/>
      <c r="U128" s="2"/>
      <c r="V128" s="2"/>
      <c r="W128" s="2"/>
      <c r="X128" s="6"/>
      <c r="Y128" s="162"/>
      <c r="Z128" s="163"/>
      <c r="AA128" s="162"/>
      <c r="AB128" s="162"/>
      <c r="AC128" s="162"/>
      <c r="AD128" s="163"/>
      <c r="AE128" s="163"/>
      <c r="AF128" s="163"/>
    </row>
    <row r="129" spans="1:32" ht="16.5" customHeight="1" x14ac:dyDescent="0.2">
      <c r="A129" s="2"/>
      <c r="B129" s="5"/>
      <c r="C129" s="2"/>
      <c r="D129" s="5"/>
      <c r="E129" s="2"/>
      <c r="F129" s="5"/>
      <c r="G129" s="2"/>
      <c r="H129" s="2"/>
      <c r="I129" s="5"/>
      <c r="J129" s="3"/>
      <c r="K129" s="5"/>
      <c r="L129" s="4"/>
      <c r="M129" s="2"/>
      <c r="N129" s="2"/>
      <c r="O129" s="5"/>
      <c r="P129" s="5"/>
      <c r="Q129" s="5"/>
      <c r="R129" s="5"/>
      <c r="S129" s="4"/>
      <c r="T129" s="2"/>
      <c r="U129" s="2"/>
      <c r="V129" s="2"/>
      <c r="W129" s="2"/>
      <c r="X129" s="6"/>
      <c r="Y129" s="162"/>
      <c r="Z129" s="163"/>
      <c r="AA129" s="162"/>
      <c r="AB129" s="162"/>
      <c r="AC129" s="162"/>
      <c r="AD129" s="163"/>
      <c r="AE129" s="163"/>
      <c r="AF129" s="163"/>
    </row>
    <row r="130" spans="1:32" ht="16.5" customHeight="1" x14ac:dyDescent="0.2">
      <c r="A130" s="2"/>
      <c r="B130" s="5"/>
      <c r="C130" s="2"/>
      <c r="D130" s="5"/>
      <c r="E130" s="2"/>
      <c r="F130" s="5"/>
      <c r="G130" s="2"/>
      <c r="H130" s="2"/>
      <c r="I130" s="5"/>
      <c r="J130" s="3"/>
      <c r="K130" s="5"/>
      <c r="L130" s="4"/>
      <c r="M130" s="2"/>
      <c r="N130" s="2"/>
      <c r="O130" s="5"/>
      <c r="P130" s="5"/>
      <c r="Q130" s="5"/>
      <c r="R130" s="5"/>
      <c r="S130" s="4"/>
      <c r="T130" s="2"/>
      <c r="U130" s="2"/>
      <c r="V130" s="2"/>
      <c r="W130" s="2"/>
      <c r="X130" s="6"/>
      <c r="Y130" s="162"/>
      <c r="Z130" s="163"/>
      <c r="AA130" s="162"/>
      <c r="AB130" s="162"/>
      <c r="AC130" s="162"/>
      <c r="AD130" s="163"/>
      <c r="AE130" s="163"/>
      <c r="AF130" s="163"/>
    </row>
    <row r="131" spans="1:32" ht="16.5" customHeight="1" x14ac:dyDescent="0.2">
      <c r="A131" s="2"/>
      <c r="B131" s="5"/>
      <c r="C131" s="2"/>
      <c r="D131" s="5"/>
      <c r="E131" s="2"/>
      <c r="F131" s="5"/>
      <c r="G131" s="2"/>
      <c r="H131" s="2"/>
      <c r="I131" s="5"/>
      <c r="J131" s="3"/>
      <c r="K131" s="5"/>
      <c r="L131" s="4"/>
      <c r="M131" s="2"/>
      <c r="N131" s="2"/>
      <c r="O131" s="5"/>
      <c r="P131" s="5"/>
      <c r="Q131" s="5"/>
      <c r="R131" s="5"/>
      <c r="S131" s="4"/>
      <c r="T131" s="2"/>
      <c r="U131" s="2"/>
      <c r="V131" s="2"/>
      <c r="W131" s="2"/>
      <c r="X131" s="6"/>
      <c r="Y131" s="162"/>
      <c r="Z131" s="163"/>
      <c r="AA131" s="162"/>
      <c r="AB131" s="162"/>
      <c r="AC131" s="162"/>
      <c r="AD131" s="163"/>
      <c r="AE131" s="163"/>
      <c r="AF131" s="163"/>
    </row>
    <row r="132" spans="1:32" ht="16.5" customHeight="1" x14ac:dyDescent="0.2">
      <c r="A132" s="2"/>
      <c r="B132" s="5"/>
      <c r="C132" s="2"/>
      <c r="D132" s="5"/>
      <c r="E132" s="2"/>
      <c r="F132" s="5"/>
      <c r="G132" s="2"/>
      <c r="H132" s="2"/>
      <c r="I132" s="5"/>
      <c r="J132" s="3"/>
      <c r="K132" s="5"/>
      <c r="L132" s="4"/>
      <c r="M132" s="2"/>
      <c r="N132" s="2"/>
      <c r="O132" s="5"/>
      <c r="P132" s="5"/>
      <c r="Q132" s="5"/>
      <c r="R132" s="5"/>
      <c r="S132" s="4"/>
      <c r="T132" s="2"/>
      <c r="U132" s="2"/>
      <c r="V132" s="2"/>
      <c r="W132" s="2"/>
      <c r="X132" s="6"/>
      <c r="Y132" s="162"/>
      <c r="Z132" s="163"/>
      <c r="AA132" s="162"/>
      <c r="AB132" s="162"/>
      <c r="AC132" s="162"/>
      <c r="AD132" s="163"/>
      <c r="AE132" s="163"/>
      <c r="AF132" s="163"/>
    </row>
    <row r="133" spans="1:32" ht="16.5" customHeight="1" x14ac:dyDescent="0.2">
      <c r="A133" s="2"/>
      <c r="B133" s="5"/>
      <c r="C133" s="2"/>
      <c r="D133" s="5"/>
      <c r="E133" s="2"/>
      <c r="F133" s="5"/>
      <c r="G133" s="2"/>
      <c r="H133" s="2"/>
      <c r="I133" s="5"/>
      <c r="J133" s="3"/>
      <c r="K133" s="5"/>
      <c r="L133" s="4"/>
      <c r="M133" s="2"/>
      <c r="N133" s="2"/>
      <c r="O133" s="5"/>
      <c r="P133" s="5"/>
      <c r="Q133" s="5"/>
      <c r="R133" s="5"/>
      <c r="S133" s="4"/>
      <c r="T133" s="2"/>
      <c r="U133" s="2"/>
      <c r="V133" s="2"/>
      <c r="W133" s="2"/>
      <c r="X133" s="6"/>
      <c r="Y133" s="162"/>
      <c r="Z133" s="163"/>
      <c r="AA133" s="162"/>
      <c r="AB133" s="162"/>
      <c r="AC133" s="162"/>
      <c r="AD133" s="163"/>
      <c r="AE133" s="163"/>
      <c r="AF133" s="163"/>
    </row>
    <row r="134" spans="1:32" ht="16.5" customHeight="1" x14ac:dyDescent="0.2">
      <c r="A134" s="2"/>
      <c r="B134" s="5"/>
      <c r="C134" s="2"/>
      <c r="D134" s="5"/>
      <c r="E134" s="2"/>
      <c r="F134" s="5"/>
      <c r="G134" s="2"/>
      <c r="H134" s="2"/>
      <c r="I134" s="5"/>
      <c r="J134" s="3"/>
      <c r="K134" s="5"/>
      <c r="L134" s="4"/>
      <c r="M134" s="2"/>
      <c r="N134" s="2"/>
      <c r="O134" s="5"/>
      <c r="P134" s="5"/>
      <c r="Q134" s="5"/>
      <c r="R134" s="5"/>
      <c r="S134" s="4"/>
      <c r="T134" s="2"/>
      <c r="U134" s="2"/>
      <c r="V134" s="2"/>
      <c r="W134" s="2"/>
      <c r="X134" s="6"/>
      <c r="Y134" s="162"/>
      <c r="Z134" s="163"/>
      <c r="AA134" s="162"/>
      <c r="AB134" s="162"/>
      <c r="AC134" s="162"/>
      <c r="AD134" s="163"/>
      <c r="AE134" s="163"/>
      <c r="AF134" s="163"/>
    </row>
    <row r="135" spans="1:32" ht="16.5" customHeight="1" x14ac:dyDescent="0.2">
      <c r="A135" s="2"/>
      <c r="B135" s="5"/>
      <c r="C135" s="2"/>
      <c r="D135" s="5"/>
      <c r="E135" s="2"/>
      <c r="F135" s="5"/>
      <c r="G135" s="2"/>
      <c r="H135" s="2"/>
      <c r="I135" s="5"/>
      <c r="J135" s="3"/>
      <c r="K135" s="5"/>
      <c r="L135" s="4"/>
      <c r="M135" s="2"/>
      <c r="N135" s="2"/>
      <c r="O135" s="5"/>
      <c r="P135" s="5"/>
      <c r="Q135" s="5"/>
      <c r="R135" s="5"/>
      <c r="S135" s="4"/>
      <c r="T135" s="2"/>
      <c r="U135" s="2"/>
      <c r="V135" s="2"/>
      <c r="W135" s="2"/>
      <c r="X135" s="6"/>
      <c r="Y135" s="162"/>
      <c r="Z135" s="163"/>
      <c r="AA135" s="162"/>
      <c r="AB135" s="162"/>
      <c r="AC135" s="162"/>
      <c r="AD135" s="163"/>
      <c r="AE135" s="163"/>
      <c r="AF135" s="163"/>
    </row>
    <row r="136" spans="1:32" ht="16.5" customHeight="1" x14ac:dyDescent="0.2">
      <c r="A136" s="2"/>
      <c r="B136" s="5"/>
      <c r="C136" s="2"/>
      <c r="D136" s="5"/>
      <c r="E136" s="2"/>
      <c r="F136" s="5"/>
      <c r="G136" s="2"/>
      <c r="H136" s="2"/>
      <c r="I136" s="5"/>
      <c r="J136" s="3"/>
      <c r="K136" s="5"/>
      <c r="L136" s="4"/>
      <c r="M136" s="2"/>
      <c r="N136" s="2"/>
      <c r="O136" s="5"/>
      <c r="P136" s="5"/>
      <c r="Q136" s="5"/>
      <c r="R136" s="5"/>
      <c r="S136" s="4"/>
      <c r="T136" s="2"/>
      <c r="U136" s="2"/>
      <c r="V136" s="2"/>
      <c r="W136" s="2"/>
      <c r="X136" s="6"/>
      <c r="Y136" s="162"/>
      <c r="Z136" s="163"/>
      <c r="AA136" s="162"/>
      <c r="AB136" s="162"/>
      <c r="AC136" s="162"/>
      <c r="AD136" s="163"/>
      <c r="AE136" s="163"/>
      <c r="AF136" s="163"/>
    </row>
    <row r="137" spans="1:32" ht="16.5" customHeight="1" x14ac:dyDescent="0.2">
      <c r="A137" s="2"/>
      <c r="B137" s="5"/>
      <c r="C137" s="2"/>
      <c r="D137" s="5"/>
      <c r="E137" s="2"/>
      <c r="F137" s="5"/>
      <c r="G137" s="2"/>
      <c r="H137" s="2"/>
      <c r="I137" s="5"/>
      <c r="J137" s="3"/>
      <c r="K137" s="5"/>
      <c r="L137" s="4"/>
      <c r="M137" s="2"/>
      <c r="N137" s="2"/>
      <c r="O137" s="5"/>
      <c r="P137" s="5"/>
      <c r="Q137" s="5"/>
      <c r="R137" s="5"/>
      <c r="S137" s="4"/>
      <c r="T137" s="2"/>
      <c r="U137" s="2"/>
      <c r="V137" s="2"/>
      <c r="W137" s="2"/>
      <c r="X137" s="6"/>
      <c r="Y137" s="162"/>
      <c r="Z137" s="163"/>
      <c r="AA137" s="162"/>
      <c r="AB137" s="162"/>
      <c r="AC137" s="162"/>
      <c r="AD137" s="163"/>
      <c r="AE137" s="163"/>
      <c r="AF137" s="163"/>
    </row>
    <row r="138" spans="1:32" ht="16.5" customHeight="1" x14ac:dyDescent="0.2">
      <c r="A138" s="2"/>
      <c r="B138" s="5"/>
      <c r="C138" s="2"/>
      <c r="D138" s="5"/>
      <c r="E138" s="2"/>
      <c r="F138" s="5"/>
      <c r="G138" s="2"/>
      <c r="H138" s="2"/>
      <c r="I138" s="5"/>
      <c r="J138" s="3"/>
      <c r="K138" s="5"/>
      <c r="L138" s="4"/>
      <c r="M138" s="2"/>
      <c r="N138" s="2"/>
      <c r="O138" s="5"/>
      <c r="P138" s="5"/>
      <c r="Q138" s="5"/>
      <c r="R138" s="5"/>
      <c r="S138" s="4"/>
      <c r="T138" s="2"/>
      <c r="U138" s="2"/>
      <c r="V138" s="2"/>
      <c r="W138" s="2"/>
      <c r="X138" s="6"/>
      <c r="Y138" s="162"/>
      <c r="Z138" s="163"/>
      <c r="AA138" s="162"/>
      <c r="AB138" s="162"/>
      <c r="AC138" s="162"/>
      <c r="AD138" s="163"/>
      <c r="AE138" s="163"/>
      <c r="AF138" s="163"/>
    </row>
    <row r="139" spans="1:32" ht="16.5" customHeight="1" x14ac:dyDescent="0.2">
      <c r="A139" s="2"/>
      <c r="B139" s="5"/>
      <c r="C139" s="2"/>
      <c r="D139" s="5"/>
      <c r="E139" s="2"/>
      <c r="F139" s="5"/>
      <c r="G139" s="2"/>
      <c r="H139" s="2"/>
      <c r="I139" s="5"/>
      <c r="J139" s="3"/>
      <c r="K139" s="5"/>
      <c r="L139" s="4"/>
      <c r="M139" s="2"/>
      <c r="N139" s="2"/>
      <c r="O139" s="5"/>
      <c r="P139" s="5"/>
      <c r="Q139" s="5"/>
      <c r="R139" s="5"/>
      <c r="S139" s="4"/>
      <c r="T139" s="2"/>
      <c r="U139" s="2"/>
      <c r="V139" s="2"/>
      <c r="W139" s="2"/>
      <c r="X139" s="6"/>
      <c r="Y139" s="162"/>
      <c r="Z139" s="163"/>
      <c r="AA139" s="162"/>
      <c r="AB139" s="162"/>
      <c r="AC139" s="162"/>
      <c r="AD139" s="163"/>
      <c r="AE139" s="163"/>
      <c r="AF139" s="163"/>
    </row>
    <row r="140" spans="1:32" ht="16.5" customHeight="1" x14ac:dyDescent="0.2">
      <c r="A140" s="2"/>
      <c r="B140" s="5"/>
      <c r="C140" s="2"/>
      <c r="D140" s="5"/>
      <c r="E140" s="2"/>
      <c r="F140" s="5"/>
      <c r="G140" s="2"/>
      <c r="H140" s="2"/>
      <c r="I140" s="5"/>
      <c r="J140" s="3"/>
      <c r="K140" s="5"/>
      <c r="L140" s="4"/>
      <c r="M140" s="2"/>
      <c r="N140" s="2"/>
      <c r="O140" s="5"/>
      <c r="P140" s="5"/>
      <c r="Q140" s="5"/>
      <c r="R140" s="5"/>
      <c r="S140" s="4"/>
      <c r="T140" s="2"/>
      <c r="U140" s="2"/>
      <c r="V140" s="2"/>
      <c r="W140" s="2"/>
      <c r="X140" s="6"/>
      <c r="Y140" s="162"/>
      <c r="Z140" s="163"/>
      <c r="AA140" s="162"/>
      <c r="AB140" s="162"/>
      <c r="AC140" s="162"/>
      <c r="AD140" s="163"/>
      <c r="AE140" s="163"/>
      <c r="AF140" s="163"/>
    </row>
    <row r="141" spans="1:32" ht="16.5" customHeight="1" x14ac:dyDescent="0.2">
      <c r="A141" s="2"/>
      <c r="B141" s="5"/>
      <c r="C141" s="2"/>
      <c r="D141" s="5"/>
      <c r="E141" s="2"/>
      <c r="F141" s="5"/>
      <c r="G141" s="2"/>
      <c r="H141" s="2"/>
      <c r="I141" s="5"/>
      <c r="J141" s="3"/>
      <c r="K141" s="5"/>
      <c r="L141" s="4"/>
      <c r="M141" s="2"/>
      <c r="N141" s="2"/>
      <c r="O141" s="5"/>
      <c r="P141" s="5"/>
      <c r="Q141" s="5"/>
      <c r="R141" s="5"/>
      <c r="S141" s="4"/>
      <c r="T141" s="2"/>
      <c r="U141" s="2"/>
      <c r="V141" s="2"/>
      <c r="W141" s="2"/>
      <c r="X141" s="6"/>
      <c r="Y141" s="162"/>
      <c r="Z141" s="163"/>
      <c r="AA141" s="162"/>
      <c r="AB141" s="162"/>
      <c r="AC141" s="162"/>
      <c r="AD141" s="163"/>
      <c r="AE141" s="163"/>
      <c r="AF141" s="163"/>
    </row>
    <row r="142" spans="1:32" ht="16.5" customHeight="1" x14ac:dyDescent="0.2">
      <c r="A142" s="2"/>
      <c r="B142" s="5"/>
      <c r="C142" s="2"/>
      <c r="D142" s="5"/>
      <c r="E142" s="2"/>
      <c r="F142" s="5"/>
      <c r="G142" s="2"/>
      <c r="H142" s="2"/>
      <c r="I142" s="5"/>
      <c r="J142" s="3"/>
      <c r="K142" s="5"/>
      <c r="L142" s="4"/>
      <c r="M142" s="2"/>
      <c r="N142" s="2"/>
      <c r="O142" s="5"/>
      <c r="P142" s="5"/>
      <c r="Q142" s="5"/>
      <c r="R142" s="5"/>
      <c r="S142" s="4"/>
      <c r="T142" s="2"/>
      <c r="U142" s="2"/>
      <c r="V142" s="2"/>
      <c r="W142" s="2"/>
      <c r="X142" s="6"/>
      <c r="Y142" s="162"/>
      <c r="Z142" s="163"/>
      <c r="AA142" s="162"/>
      <c r="AB142" s="162"/>
      <c r="AC142" s="162"/>
      <c r="AD142" s="163"/>
      <c r="AE142" s="163"/>
      <c r="AF142" s="163"/>
    </row>
    <row r="143" spans="1:32" ht="16.5" customHeight="1" x14ac:dyDescent="0.2">
      <c r="A143" s="2"/>
      <c r="B143" s="5"/>
      <c r="C143" s="2"/>
      <c r="D143" s="5"/>
      <c r="E143" s="2"/>
      <c r="F143" s="5"/>
      <c r="G143" s="2"/>
      <c r="H143" s="2"/>
      <c r="I143" s="5"/>
      <c r="J143" s="3"/>
      <c r="K143" s="5"/>
      <c r="L143" s="4"/>
      <c r="M143" s="2"/>
      <c r="N143" s="2"/>
      <c r="O143" s="5"/>
      <c r="P143" s="5"/>
      <c r="Q143" s="5"/>
      <c r="R143" s="5"/>
      <c r="S143" s="4"/>
      <c r="T143" s="2"/>
      <c r="U143" s="2"/>
      <c r="V143" s="2"/>
      <c r="W143" s="2"/>
      <c r="X143" s="6"/>
      <c r="Y143" s="162"/>
      <c r="Z143" s="163"/>
      <c r="AA143" s="162"/>
      <c r="AB143" s="162"/>
      <c r="AC143" s="162"/>
      <c r="AD143" s="163"/>
      <c r="AE143" s="163"/>
      <c r="AF143" s="163"/>
    </row>
    <row r="144" spans="1:32" ht="16.5" customHeight="1" x14ac:dyDescent="0.2">
      <c r="A144" s="2"/>
      <c r="B144" s="5"/>
      <c r="C144" s="2"/>
      <c r="D144" s="5"/>
      <c r="E144" s="2"/>
      <c r="F144" s="5"/>
      <c r="G144" s="2"/>
      <c r="H144" s="2"/>
      <c r="I144" s="5"/>
      <c r="J144" s="3"/>
      <c r="K144" s="5"/>
      <c r="L144" s="4"/>
      <c r="M144" s="2"/>
      <c r="N144" s="2"/>
      <c r="O144" s="5"/>
      <c r="P144" s="5"/>
      <c r="Q144" s="5"/>
      <c r="R144" s="5"/>
      <c r="S144" s="4"/>
      <c r="T144" s="2"/>
      <c r="U144" s="2"/>
      <c r="V144" s="2"/>
      <c r="W144" s="2"/>
      <c r="X144" s="6"/>
      <c r="Y144" s="162"/>
      <c r="Z144" s="163"/>
      <c r="AA144" s="162"/>
      <c r="AB144" s="162"/>
      <c r="AC144" s="162"/>
      <c r="AD144" s="163"/>
      <c r="AE144" s="163"/>
      <c r="AF144" s="163"/>
    </row>
    <row r="145" spans="1:32" ht="16.5" customHeight="1" x14ac:dyDescent="0.2">
      <c r="A145" s="2"/>
      <c r="B145" s="5"/>
      <c r="C145" s="2"/>
      <c r="D145" s="5"/>
      <c r="E145" s="2"/>
      <c r="F145" s="5"/>
      <c r="G145" s="2"/>
      <c r="H145" s="2"/>
      <c r="I145" s="5"/>
      <c r="J145" s="3"/>
      <c r="K145" s="5"/>
      <c r="L145" s="4"/>
      <c r="M145" s="2"/>
      <c r="N145" s="2"/>
      <c r="O145" s="5"/>
      <c r="P145" s="5"/>
      <c r="Q145" s="5"/>
      <c r="R145" s="5"/>
      <c r="S145" s="4"/>
      <c r="T145" s="2"/>
      <c r="U145" s="2"/>
      <c r="V145" s="2"/>
      <c r="W145" s="2"/>
      <c r="X145" s="6"/>
      <c r="Y145" s="162"/>
      <c r="Z145" s="163"/>
      <c r="AA145" s="162"/>
      <c r="AB145" s="162"/>
      <c r="AC145" s="162"/>
      <c r="AD145" s="163"/>
      <c r="AE145" s="163"/>
      <c r="AF145" s="163"/>
    </row>
    <row r="146" spans="1:32" ht="16.5" customHeight="1" x14ac:dyDescent="0.2">
      <c r="A146" s="2"/>
      <c r="B146" s="5"/>
      <c r="C146" s="2"/>
      <c r="D146" s="5"/>
      <c r="E146" s="2"/>
      <c r="F146" s="5"/>
      <c r="G146" s="2"/>
      <c r="H146" s="2"/>
      <c r="I146" s="5"/>
      <c r="J146" s="3"/>
      <c r="K146" s="5"/>
      <c r="L146" s="4"/>
      <c r="M146" s="2"/>
      <c r="N146" s="2"/>
      <c r="O146" s="5"/>
      <c r="P146" s="5"/>
      <c r="Q146" s="5"/>
      <c r="R146" s="5"/>
      <c r="S146" s="4"/>
      <c r="T146" s="2"/>
      <c r="U146" s="2"/>
      <c r="V146" s="2"/>
      <c r="W146" s="2"/>
      <c r="X146" s="6"/>
      <c r="Y146" s="162"/>
      <c r="Z146" s="163"/>
      <c r="AA146" s="162"/>
      <c r="AB146" s="162"/>
      <c r="AC146" s="162"/>
      <c r="AD146" s="163"/>
      <c r="AE146" s="163"/>
      <c r="AF146" s="163"/>
    </row>
    <row r="147" spans="1:32" ht="16.5" customHeight="1" x14ac:dyDescent="0.2">
      <c r="A147" s="2"/>
      <c r="B147" s="5"/>
      <c r="C147" s="2"/>
      <c r="D147" s="5"/>
      <c r="E147" s="2"/>
      <c r="F147" s="5"/>
      <c r="G147" s="2"/>
      <c r="H147" s="2"/>
      <c r="I147" s="5"/>
      <c r="J147" s="3"/>
      <c r="K147" s="5"/>
      <c r="L147" s="4"/>
      <c r="M147" s="2"/>
      <c r="N147" s="2"/>
      <c r="O147" s="5"/>
      <c r="P147" s="5"/>
      <c r="Q147" s="5"/>
      <c r="R147" s="5"/>
      <c r="S147" s="4"/>
      <c r="T147" s="2"/>
      <c r="U147" s="2"/>
      <c r="V147" s="2"/>
      <c r="W147" s="2"/>
      <c r="X147" s="6"/>
      <c r="Y147" s="162"/>
      <c r="Z147" s="163"/>
      <c r="AA147" s="162"/>
      <c r="AB147" s="162"/>
      <c r="AC147" s="162"/>
      <c r="AD147" s="163"/>
      <c r="AE147" s="163"/>
      <c r="AF147" s="163"/>
    </row>
    <row r="148" spans="1:32" ht="16.5" customHeight="1" x14ac:dyDescent="0.2">
      <c r="A148" s="2"/>
      <c r="B148" s="5"/>
      <c r="C148" s="2"/>
      <c r="D148" s="5"/>
      <c r="E148" s="2"/>
      <c r="F148" s="5"/>
      <c r="G148" s="2"/>
      <c r="H148" s="2"/>
      <c r="I148" s="5"/>
      <c r="J148" s="3"/>
      <c r="K148" s="5"/>
      <c r="L148" s="4"/>
      <c r="M148" s="2"/>
      <c r="N148" s="2"/>
      <c r="O148" s="5"/>
      <c r="P148" s="5"/>
      <c r="Q148" s="5"/>
      <c r="R148" s="5"/>
      <c r="S148" s="4"/>
      <c r="T148" s="2"/>
      <c r="U148" s="2"/>
      <c r="V148" s="2"/>
      <c r="W148" s="2"/>
      <c r="X148" s="6"/>
      <c r="Y148" s="162"/>
      <c r="Z148" s="163"/>
      <c r="AA148" s="162"/>
      <c r="AB148" s="162"/>
      <c r="AC148" s="162"/>
      <c r="AD148" s="163"/>
      <c r="AE148" s="163"/>
      <c r="AF148" s="163"/>
    </row>
    <row r="149" spans="1:32" ht="16.5" customHeight="1" x14ac:dyDescent="0.2">
      <c r="A149" s="2"/>
      <c r="B149" s="5"/>
      <c r="C149" s="2"/>
      <c r="D149" s="5"/>
      <c r="E149" s="2"/>
      <c r="F149" s="5"/>
      <c r="G149" s="2"/>
      <c r="H149" s="2"/>
      <c r="I149" s="5"/>
      <c r="J149" s="3"/>
      <c r="K149" s="5"/>
      <c r="L149" s="4"/>
      <c r="M149" s="2"/>
      <c r="N149" s="2"/>
      <c r="O149" s="5"/>
      <c r="P149" s="5"/>
      <c r="Q149" s="5"/>
      <c r="R149" s="5"/>
      <c r="S149" s="4"/>
      <c r="T149" s="2"/>
      <c r="U149" s="2"/>
      <c r="V149" s="2"/>
      <c r="W149" s="2"/>
      <c r="X149" s="6"/>
      <c r="Y149" s="162"/>
      <c r="Z149" s="163"/>
      <c r="AA149" s="162"/>
      <c r="AB149" s="162"/>
      <c r="AC149" s="162"/>
      <c r="AD149" s="163"/>
      <c r="AE149" s="163"/>
      <c r="AF149" s="163"/>
    </row>
    <row r="150" spans="1:32" ht="16.5" customHeight="1" x14ac:dyDescent="0.2">
      <c r="A150" s="2"/>
      <c r="B150" s="5"/>
      <c r="C150" s="2"/>
      <c r="D150" s="5"/>
      <c r="E150" s="2"/>
      <c r="F150" s="5"/>
      <c r="G150" s="2"/>
      <c r="H150" s="2"/>
      <c r="I150" s="5"/>
      <c r="J150" s="3"/>
      <c r="K150" s="5"/>
      <c r="L150" s="4"/>
      <c r="M150" s="2"/>
      <c r="N150" s="2"/>
      <c r="O150" s="5"/>
      <c r="P150" s="5"/>
      <c r="Q150" s="5"/>
      <c r="R150" s="5"/>
      <c r="S150" s="4"/>
      <c r="T150" s="2"/>
      <c r="U150" s="2"/>
      <c r="V150" s="2"/>
      <c r="W150" s="2"/>
      <c r="X150" s="6"/>
      <c r="Y150" s="162"/>
      <c r="Z150" s="163"/>
      <c r="AA150" s="162"/>
      <c r="AB150" s="162"/>
      <c r="AC150" s="162"/>
      <c r="AD150" s="163"/>
      <c r="AE150" s="163"/>
      <c r="AF150" s="163"/>
    </row>
    <row r="151" spans="1:32" ht="16.5" customHeight="1" x14ac:dyDescent="0.2">
      <c r="A151" s="2"/>
      <c r="B151" s="5"/>
      <c r="C151" s="2"/>
      <c r="D151" s="5"/>
      <c r="E151" s="2"/>
      <c r="F151" s="5"/>
      <c r="G151" s="2"/>
      <c r="H151" s="2"/>
      <c r="I151" s="5"/>
      <c r="J151" s="3"/>
      <c r="K151" s="5"/>
      <c r="L151" s="4"/>
      <c r="M151" s="2"/>
      <c r="N151" s="2"/>
      <c r="O151" s="5"/>
      <c r="P151" s="5"/>
      <c r="Q151" s="5"/>
      <c r="R151" s="5"/>
      <c r="S151" s="4"/>
      <c r="T151" s="2"/>
      <c r="U151" s="2"/>
      <c r="V151" s="2"/>
      <c r="W151" s="2"/>
      <c r="X151" s="6"/>
      <c r="Y151" s="162"/>
      <c r="Z151" s="163"/>
      <c r="AA151" s="162"/>
      <c r="AB151" s="162"/>
      <c r="AC151" s="162"/>
      <c r="AD151" s="163"/>
      <c r="AE151" s="163"/>
      <c r="AF151" s="163"/>
    </row>
    <row r="152" spans="1:32" ht="16.5" customHeight="1" x14ac:dyDescent="0.2">
      <c r="A152" s="2"/>
      <c r="B152" s="5"/>
      <c r="C152" s="2"/>
      <c r="D152" s="5"/>
      <c r="E152" s="2"/>
      <c r="F152" s="5"/>
      <c r="G152" s="2"/>
      <c r="H152" s="2"/>
      <c r="I152" s="5"/>
      <c r="J152" s="3"/>
      <c r="K152" s="5"/>
      <c r="L152" s="4"/>
      <c r="M152" s="2"/>
      <c r="N152" s="2"/>
      <c r="O152" s="5"/>
      <c r="P152" s="5"/>
      <c r="Q152" s="5"/>
      <c r="R152" s="5"/>
      <c r="S152" s="4"/>
      <c r="T152" s="2"/>
      <c r="U152" s="2"/>
      <c r="V152" s="2"/>
      <c r="W152" s="2"/>
      <c r="X152" s="6"/>
      <c r="Y152" s="162"/>
      <c r="Z152" s="163"/>
      <c r="AA152" s="162"/>
      <c r="AB152" s="162"/>
      <c r="AC152" s="162"/>
      <c r="AD152" s="163"/>
      <c r="AE152" s="163"/>
      <c r="AF152" s="163"/>
    </row>
    <row r="153" spans="1:32" ht="16.5" customHeight="1" x14ac:dyDescent="0.2">
      <c r="A153" s="2"/>
      <c r="B153" s="5"/>
      <c r="C153" s="2"/>
      <c r="D153" s="5"/>
      <c r="E153" s="2"/>
      <c r="F153" s="5"/>
      <c r="G153" s="2"/>
      <c r="H153" s="2"/>
      <c r="I153" s="5"/>
      <c r="J153" s="3"/>
      <c r="K153" s="5"/>
      <c r="L153" s="4"/>
      <c r="M153" s="2"/>
      <c r="N153" s="2"/>
      <c r="O153" s="5"/>
      <c r="P153" s="5"/>
      <c r="Q153" s="5"/>
      <c r="R153" s="5"/>
      <c r="S153" s="4"/>
      <c r="T153" s="2"/>
      <c r="U153" s="2"/>
      <c r="V153" s="2"/>
      <c r="W153" s="2"/>
      <c r="X153" s="6"/>
      <c r="Y153" s="162"/>
      <c r="Z153" s="163"/>
      <c r="AA153" s="162"/>
      <c r="AB153" s="162"/>
      <c r="AC153" s="162"/>
      <c r="AD153" s="163"/>
      <c r="AE153" s="163"/>
      <c r="AF153" s="163"/>
    </row>
    <row r="154" spans="1:32" ht="16.5" customHeight="1" x14ac:dyDescent="0.2">
      <c r="A154" s="2"/>
      <c r="B154" s="5"/>
      <c r="C154" s="2"/>
      <c r="D154" s="5"/>
      <c r="E154" s="2"/>
      <c r="F154" s="5"/>
      <c r="G154" s="2"/>
      <c r="H154" s="2"/>
      <c r="I154" s="5"/>
      <c r="J154" s="3"/>
      <c r="K154" s="5"/>
      <c r="L154" s="4"/>
      <c r="M154" s="2"/>
      <c r="N154" s="2"/>
      <c r="O154" s="5"/>
      <c r="P154" s="5"/>
      <c r="Q154" s="5"/>
      <c r="R154" s="5"/>
      <c r="S154" s="4"/>
      <c r="T154" s="2"/>
      <c r="U154" s="2"/>
      <c r="V154" s="2"/>
      <c r="W154" s="2"/>
      <c r="X154" s="6"/>
      <c r="Y154" s="162"/>
      <c r="Z154" s="163"/>
      <c r="AA154" s="162"/>
      <c r="AB154" s="162"/>
      <c r="AC154" s="162"/>
      <c r="AD154" s="163"/>
      <c r="AE154" s="163"/>
      <c r="AF154" s="163"/>
    </row>
    <row r="155" spans="1:32" ht="16.5" customHeight="1" x14ac:dyDescent="0.2">
      <c r="A155" s="2"/>
      <c r="B155" s="5"/>
      <c r="C155" s="2"/>
      <c r="D155" s="5"/>
      <c r="E155" s="2"/>
      <c r="F155" s="5"/>
      <c r="G155" s="2"/>
      <c r="H155" s="2"/>
      <c r="I155" s="5"/>
      <c r="J155" s="3"/>
      <c r="K155" s="5"/>
      <c r="L155" s="4"/>
      <c r="M155" s="2"/>
      <c r="N155" s="2"/>
      <c r="O155" s="5"/>
      <c r="P155" s="5"/>
      <c r="Q155" s="5"/>
      <c r="R155" s="5"/>
      <c r="S155" s="4"/>
      <c r="T155" s="2"/>
      <c r="U155" s="2"/>
      <c r="V155" s="2"/>
      <c r="W155" s="2"/>
      <c r="X155" s="6"/>
      <c r="Y155" s="162"/>
      <c r="Z155" s="163"/>
      <c r="AA155" s="162"/>
      <c r="AB155" s="162"/>
      <c r="AC155" s="162"/>
      <c r="AD155" s="163"/>
      <c r="AE155" s="163"/>
      <c r="AF155" s="163"/>
    </row>
    <row r="156" spans="1:32" ht="16.5" customHeight="1" x14ac:dyDescent="0.2">
      <c r="A156" s="2"/>
      <c r="B156" s="5"/>
      <c r="C156" s="2"/>
      <c r="D156" s="5"/>
      <c r="E156" s="2"/>
      <c r="F156" s="5"/>
      <c r="G156" s="2"/>
      <c r="H156" s="2"/>
      <c r="I156" s="5"/>
      <c r="J156" s="3"/>
      <c r="K156" s="5"/>
      <c r="L156" s="4"/>
      <c r="M156" s="2"/>
      <c r="N156" s="2"/>
      <c r="O156" s="5"/>
      <c r="P156" s="5"/>
      <c r="Q156" s="5"/>
      <c r="R156" s="5"/>
      <c r="S156" s="4"/>
      <c r="T156" s="2"/>
      <c r="U156" s="2"/>
      <c r="V156" s="2"/>
      <c r="W156" s="2"/>
      <c r="X156" s="6"/>
      <c r="Y156" s="162"/>
      <c r="Z156" s="163"/>
      <c r="AA156" s="162"/>
      <c r="AB156" s="162"/>
      <c r="AC156" s="162"/>
      <c r="AD156" s="163"/>
      <c r="AE156" s="163"/>
      <c r="AF156" s="163"/>
    </row>
    <row r="157" spans="1:32" ht="16.5" customHeight="1" x14ac:dyDescent="0.2">
      <c r="A157" s="2"/>
      <c r="B157" s="5"/>
      <c r="C157" s="2"/>
      <c r="D157" s="5"/>
      <c r="E157" s="2"/>
      <c r="F157" s="5"/>
      <c r="G157" s="2"/>
      <c r="H157" s="2"/>
      <c r="I157" s="5"/>
      <c r="J157" s="3"/>
      <c r="K157" s="5"/>
      <c r="L157" s="4"/>
      <c r="M157" s="2"/>
      <c r="N157" s="2"/>
      <c r="O157" s="5"/>
      <c r="P157" s="5"/>
      <c r="Q157" s="5"/>
      <c r="R157" s="5"/>
      <c r="S157" s="4"/>
      <c r="T157" s="2"/>
      <c r="U157" s="2"/>
      <c r="V157" s="2"/>
      <c r="W157" s="2"/>
      <c r="X157" s="6"/>
      <c r="Y157" s="162"/>
      <c r="Z157" s="163"/>
      <c r="AA157" s="162"/>
      <c r="AB157" s="162"/>
      <c r="AC157" s="162"/>
      <c r="AD157" s="163"/>
      <c r="AE157" s="163"/>
      <c r="AF157" s="163"/>
    </row>
    <row r="158" spans="1:32" ht="16.5" customHeight="1" x14ac:dyDescent="0.2">
      <c r="A158" s="2"/>
      <c r="B158" s="5"/>
      <c r="C158" s="2"/>
      <c r="D158" s="5"/>
      <c r="E158" s="2"/>
      <c r="F158" s="5"/>
      <c r="G158" s="2"/>
      <c r="H158" s="2"/>
      <c r="I158" s="5"/>
      <c r="J158" s="3"/>
      <c r="K158" s="5"/>
      <c r="L158" s="4"/>
      <c r="M158" s="2"/>
      <c r="N158" s="2"/>
      <c r="O158" s="5"/>
      <c r="P158" s="5"/>
      <c r="Q158" s="5"/>
      <c r="R158" s="5"/>
      <c r="S158" s="4"/>
      <c r="T158" s="2"/>
      <c r="U158" s="2"/>
      <c r="V158" s="2"/>
      <c r="W158" s="2"/>
      <c r="X158" s="6"/>
      <c r="Y158" s="162"/>
      <c r="Z158" s="163"/>
      <c r="AA158" s="162"/>
      <c r="AB158" s="162"/>
      <c r="AC158" s="162"/>
      <c r="AD158" s="163"/>
      <c r="AE158" s="163"/>
      <c r="AF158" s="163"/>
    </row>
    <row r="159" spans="1:32" ht="16.5" customHeight="1" x14ac:dyDescent="0.2">
      <c r="A159" s="2"/>
      <c r="B159" s="5"/>
      <c r="C159" s="2"/>
      <c r="D159" s="5"/>
      <c r="E159" s="2"/>
      <c r="F159" s="5"/>
      <c r="G159" s="2"/>
      <c r="H159" s="2"/>
      <c r="I159" s="5"/>
      <c r="J159" s="3"/>
      <c r="K159" s="5"/>
      <c r="L159" s="4"/>
      <c r="M159" s="2"/>
      <c r="N159" s="2"/>
      <c r="O159" s="5"/>
      <c r="P159" s="5"/>
      <c r="Q159" s="5"/>
      <c r="R159" s="5"/>
      <c r="S159" s="4"/>
      <c r="T159" s="2"/>
      <c r="U159" s="2"/>
      <c r="V159" s="2"/>
      <c r="W159" s="2"/>
      <c r="X159" s="6"/>
      <c r="Y159" s="162"/>
      <c r="Z159" s="163"/>
      <c r="AA159" s="162"/>
      <c r="AB159" s="162"/>
      <c r="AC159" s="162"/>
      <c r="AD159" s="163"/>
      <c r="AE159" s="163"/>
      <c r="AF159" s="163"/>
    </row>
    <row r="160" spans="1:32" ht="16.5" customHeight="1" x14ac:dyDescent="0.2">
      <c r="A160" s="2"/>
      <c r="B160" s="5"/>
      <c r="C160" s="2"/>
      <c r="D160" s="5"/>
      <c r="E160" s="2"/>
      <c r="F160" s="5"/>
      <c r="G160" s="2"/>
      <c r="H160" s="2"/>
      <c r="I160" s="5"/>
      <c r="J160" s="3"/>
      <c r="K160" s="5"/>
      <c r="L160" s="4"/>
      <c r="M160" s="2"/>
      <c r="N160" s="2"/>
      <c r="O160" s="5"/>
      <c r="P160" s="5"/>
      <c r="Q160" s="5"/>
      <c r="R160" s="5"/>
      <c r="S160" s="4"/>
      <c r="T160" s="2"/>
      <c r="U160" s="2"/>
      <c r="V160" s="2"/>
      <c r="W160" s="2"/>
      <c r="X160" s="6"/>
      <c r="Y160" s="162"/>
      <c r="Z160" s="163"/>
      <c r="AA160" s="162"/>
      <c r="AB160" s="162"/>
      <c r="AC160" s="162"/>
      <c r="AD160" s="163"/>
      <c r="AE160" s="163"/>
      <c r="AF160" s="163"/>
    </row>
    <row r="161" spans="1:32" ht="16.5" customHeight="1" x14ac:dyDescent="0.2">
      <c r="A161" s="2"/>
      <c r="B161" s="5"/>
      <c r="C161" s="2"/>
      <c r="D161" s="5"/>
      <c r="E161" s="2"/>
      <c r="F161" s="5"/>
      <c r="G161" s="2"/>
      <c r="H161" s="2"/>
      <c r="I161" s="5"/>
      <c r="J161" s="3"/>
      <c r="K161" s="5"/>
      <c r="L161" s="4"/>
      <c r="M161" s="2"/>
      <c r="N161" s="2"/>
      <c r="O161" s="5"/>
      <c r="P161" s="5"/>
      <c r="Q161" s="5"/>
      <c r="R161" s="5"/>
      <c r="S161" s="4"/>
      <c r="T161" s="2"/>
      <c r="U161" s="2"/>
      <c r="V161" s="2"/>
      <c r="W161" s="2"/>
      <c r="X161" s="6"/>
      <c r="Y161" s="162"/>
      <c r="Z161" s="163"/>
      <c r="AA161" s="162"/>
      <c r="AB161" s="162"/>
      <c r="AC161" s="162"/>
      <c r="AD161" s="163"/>
      <c r="AE161" s="163"/>
      <c r="AF161" s="163"/>
    </row>
    <row r="162" spans="1:32" ht="16.5" customHeight="1" x14ac:dyDescent="0.2">
      <c r="A162" s="2"/>
      <c r="B162" s="5"/>
      <c r="C162" s="2"/>
      <c r="D162" s="5"/>
      <c r="E162" s="2"/>
      <c r="F162" s="5"/>
      <c r="G162" s="2"/>
      <c r="H162" s="2"/>
      <c r="I162" s="5"/>
      <c r="J162" s="3"/>
      <c r="K162" s="5"/>
      <c r="L162" s="4"/>
      <c r="M162" s="2"/>
      <c r="N162" s="2"/>
      <c r="O162" s="5"/>
      <c r="P162" s="5"/>
      <c r="Q162" s="5"/>
      <c r="R162" s="5"/>
      <c r="S162" s="4"/>
      <c r="T162" s="2"/>
      <c r="U162" s="2"/>
      <c r="V162" s="2"/>
      <c r="W162" s="2"/>
      <c r="X162" s="6"/>
      <c r="Y162" s="162"/>
      <c r="Z162" s="163"/>
      <c r="AA162" s="162"/>
      <c r="AB162" s="162"/>
      <c r="AC162" s="162"/>
      <c r="AD162" s="163"/>
      <c r="AE162" s="163"/>
      <c r="AF162" s="163"/>
    </row>
    <row r="163" spans="1:32" ht="16.5" customHeight="1" x14ac:dyDescent="0.2">
      <c r="A163" s="2"/>
      <c r="B163" s="5"/>
      <c r="C163" s="2"/>
      <c r="D163" s="5"/>
      <c r="E163" s="2"/>
      <c r="F163" s="5"/>
      <c r="G163" s="2"/>
      <c r="H163" s="2"/>
      <c r="I163" s="5"/>
      <c r="J163" s="3"/>
      <c r="K163" s="5"/>
      <c r="L163" s="4"/>
      <c r="M163" s="2"/>
      <c r="N163" s="2"/>
      <c r="O163" s="5"/>
      <c r="P163" s="5"/>
      <c r="Q163" s="5"/>
      <c r="R163" s="5"/>
      <c r="S163" s="4"/>
      <c r="T163" s="2"/>
      <c r="U163" s="2"/>
      <c r="V163" s="2"/>
      <c r="W163" s="2"/>
      <c r="X163" s="6"/>
      <c r="Y163" s="162"/>
      <c r="Z163" s="163"/>
      <c r="AA163" s="162"/>
      <c r="AB163" s="162"/>
      <c r="AC163" s="162"/>
      <c r="AD163" s="163"/>
      <c r="AE163" s="163"/>
      <c r="AF163" s="163"/>
    </row>
    <row r="164" spans="1:32" ht="16.5" customHeight="1" x14ac:dyDescent="0.2">
      <c r="A164" s="2"/>
      <c r="B164" s="5"/>
      <c r="C164" s="2"/>
      <c r="D164" s="5"/>
      <c r="E164" s="2"/>
      <c r="F164" s="5"/>
      <c r="G164" s="2"/>
      <c r="H164" s="2"/>
      <c r="I164" s="5"/>
      <c r="J164" s="3"/>
      <c r="K164" s="5"/>
      <c r="L164" s="4"/>
      <c r="M164" s="2"/>
      <c r="N164" s="2"/>
      <c r="O164" s="5"/>
      <c r="P164" s="5"/>
      <c r="Q164" s="5"/>
      <c r="R164" s="5"/>
      <c r="S164" s="4"/>
      <c r="T164" s="2"/>
      <c r="U164" s="2"/>
      <c r="V164" s="2"/>
      <c r="W164" s="2"/>
      <c r="X164" s="6"/>
      <c r="Y164" s="162"/>
      <c r="Z164" s="163"/>
      <c r="AA164" s="162"/>
      <c r="AB164" s="162"/>
      <c r="AC164" s="162"/>
      <c r="AD164" s="163"/>
      <c r="AE164" s="163"/>
      <c r="AF164" s="163"/>
    </row>
    <row r="165" spans="1:32" ht="16.5" customHeight="1" x14ac:dyDescent="0.2">
      <c r="A165" s="2"/>
      <c r="B165" s="5"/>
      <c r="C165" s="2"/>
      <c r="D165" s="5"/>
      <c r="E165" s="2"/>
      <c r="F165" s="5"/>
      <c r="G165" s="2"/>
      <c r="H165" s="2"/>
      <c r="I165" s="5"/>
      <c r="J165" s="3"/>
      <c r="K165" s="5"/>
      <c r="L165" s="4"/>
      <c r="M165" s="2"/>
      <c r="N165" s="2"/>
      <c r="O165" s="5"/>
      <c r="P165" s="5"/>
      <c r="Q165" s="5"/>
      <c r="R165" s="5"/>
      <c r="S165" s="4"/>
      <c r="T165" s="2"/>
      <c r="U165" s="2"/>
      <c r="V165" s="2"/>
      <c r="W165" s="2"/>
      <c r="X165" s="6"/>
      <c r="Y165" s="162"/>
      <c r="Z165" s="163"/>
      <c r="AA165" s="162"/>
      <c r="AB165" s="162"/>
      <c r="AC165" s="162"/>
      <c r="AD165" s="163"/>
      <c r="AE165" s="163"/>
      <c r="AF165" s="163"/>
    </row>
    <row r="166" spans="1:32" ht="16.5" customHeight="1" x14ac:dyDescent="0.2">
      <c r="A166" s="2"/>
      <c r="B166" s="5"/>
      <c r="C166" s="2"/>
      <c r="D166" s="5"/>
      <c r="E166" s="2"/>
      <c r="F166" s="5"/>
      <c r="G166" s="2"/>
      <c r="H166" s="2"/>
      <c r="I166" s="5"/>
      <c r="J166" s="3"/>
      <c r="K166" s="5"/>
      <c r="L166" s="4"/>
      <c r="M166" s="2"/>
      <c r="N166" s="2"/>
      <c r="O166" s="5"/>
      <c r="P166" s="5"/>
      <c r="Q166" s="5"/>
      <c r="R166" s="5"/>
      <c r="S166" s="4"/>
      <c r="T166" s="2"/>
      <c r="U166" s="2"/>
      <c r="V166" s="2"/>
      <c r="W166" s="2"/>
      <c r="X166" s="6"/>
      <c r="Y166" s="162"/>
      <c r="Z166" s="163"/>
      <c r="AA166" s="162"/>
      <c r="AB166" s="162"/>
      <c r="AC166" s="162"/>
      <c r="AD166" s="163"/>
      <c r="AE166" s="163"/>
      <c r="AF166" s="163"/>
    </row>
    <row r="167" spans="1:32" ht="16.5" customHeight="1" x14ac:dyDescent="0.2">
      <c r="A167" s="2"/>
      <c r="B167" s="5"/>
      <c r="C167" s="2"/>
      <c r="D167" s="5"/>
      <c r="E167" s="2"/>
      <c r="F167" s="5"/>
      <c r="G167" s="2"/>
      <c r="H167" s="2"/>
      <c r="I167" s="5"/>
      <c r="J167" s="3"/>
      <c r="K167" s="5"/>
      <c r="L167" s="4"/>
      <c r="M167" s="2"/>
      <c r="N167" s="2"/>
      <c r="O167" s="5"/>
      <c r="P167" s="5"/>
      <c r="Q167" s="5"/>
      <c r="R167" s="5"/>
      <c r="S167" s="4"/>
      <c r="T167" s="2"/>
      <c r="U167" s="2"/>
      <c r="V167" s="2"/>
      <c r="W167" s="2"/>
      <c r="X167" s="6"/>
      <c r="Y167" s="162"/>
      <c r="Z167" s="163"/>
      <c r="AA167" s="162"/>
      <c r="AB167" s="162"/>
      <c r="AC167" s="162"/>
      <c r="AD167" s="163"/>
      <c r="AE167" s="163"/>
      <c r="AF167" s="163"/>
    </row>
    <row r="168" spans="1:32" ht="16.5" customHeight="1" x14ac:dyDescent="0.2">
      <c r="A168" s="2"/>
      <c r="B168" s="5"/>
      <c r="C168" s="2"/>
      <c r="D168" s="5"/>
      <c r="E168" s="2"/>
      <c r="F168" s="5"/>
      <c r="G168" s="2"/>
      <c r="H168" s="2"/>
      <c r="I168" s="5"/>
      <c r="J168" s="3"/>
      <c r="K168" s="5"/>
      <c r="L168" s="4"/>
      <c r="M168" s="2"/>
      <c r="N168" s="2"/>
      <c r="O168" s="5"/>
      <c r="P168" s="5"/>
      <c r="Q168" s="5"/>
      <c r="R168" s="5"/>
      <c r="S168" s="4"/>
      <c r="T168" s="2"/>
      <c r="U168" s="2"/>
      <c r="V168" s="2"/>
      <c r="W168" s="2"/>
      <c r="X168" s="6"/>
      <c r="Y168" s="162"/>
      <c r="Z168" s="163"/>
      <c r="AA168" s="162"/>
      <c r="AB168" s="162"/>
      <c r="AC168" s="162"/>
      <c r="AD168" s="163"/>
      <c r="AE168" s="163"/>
      <c r="AF168" s="163"/>
    </row>
    <row r="169" spans="1:32" ht="16.5" customHeight="1" x14ac:dyDescent="0.2">
      <c r="A169" s="2"/>
      <c r="B169" s="5"/>
      <c r="C169" s="2"/>
      <c r="D169" s="5"/>
      <c r="E169" s="2"/>
      <c r="F169" s="5"/>
      <c r="G169" s="2"/>
      <c r="H169" s="2"/>
      <c r="I169" s="5"/>
      <c r="J169" s="3"/>
      <c r="K169" s="5"/>
      <c r="L169" s="4"/>
      <c r="M169" s="2"/>
      <c r="N169" s="2"/>
      <c r="O169" s="5"/>
      <c r="P169" s="5"/>
      <c r="Q169" s="5"/>
      <c r="R169" s="5"/>
      <c r="S169" s="4"/>
      <c r="T169" s="2"/>
      <c r="U169" s="2"/>
      <c r="V169" s="2"/>
      <c r="W169" s="2"/>
      <c r="X169" s="6"/>
      <c r="Y169" s="162"/>
      <c r="Z169" s="163"/>
      <c r="AA169" s="162"/>
      <c r="AB169" s="162"/>
      <c r="AC169" s="162"/>
      <c r="AD169" s="163"/>
      <c r="AE169" s="163"/>
      <c r="AF169" s="163"/>
    </row>
    <row r="170" spans="1:32" ht="16.5" customHeight="1" x14ac:dyDescent="0.2">
      <c r="A170" s="2"/>
      <c r="B170" s="5"/>
      <c r="C170" s="2"/>
      <c r="D170" s="5"/>
      <c r="E170" s="2"/>
      <c r="F170" s="5"/>
      <c r="G170" s="2"/>
      <c r="H170" s="2"/>
      <c r="I170" s="5"/>
      <c r="J170" s="3"/>
      <c r="K170" s="5"/>
      <c r="L170" s="4"/>
      <c r="M170" s="2"/>
      <c r="N170" s="2"/>
      <c r="O170" s="5"/>
      <c r="P170" s="5"/>
      <c r="Q170" s="5"/>
      <c r="R170" s="5"/>
      <c r="S170" s="4"/>
      <c r="T170" s="2"/>
      <c r="U170" s="2"/>
      <c r="V170" s="2"/>
      <c r="W170" s="2"/>
      <c r="X170" s="6"/>
      <c r="Y170" s="162"/>
      <c r="Z170" s="163"/>
      <c r="AA170" s="162"/>
      <c r="AB170" s="162"/>
      <c r="AC170" s="162"/>
      <c r="AD170" s="163"/>
      <c r="AE170" s="163"/>
      <c r="AF170" s="163"/>
    </row>
    <row r="171" spans="1:32" ht="16.5" customHeight="1" x14ac:dyDescent="0.2">
      <c r="A171" s="2"/>
      <c r="B171" s="5"/>
      <c r="C171" s="2"/>
      <c r="D171" s="5"/>
      <c r="E171" s="2"/>
      <c r="F171" s="5"/>
      <c r="G171" s="2"/>
      <c r="H171" s="2"/>
      <c r="I171" s="5"/>
      <c r="J171" s="3"/>
      <c r="K171" s="5"/>
      <c r="L171" s="4"/>
      <c r="M171" s="2"/>
      <c r="N171" s="2"/>
      <c r="O171" s="5"/>
      <c r="P171" s="5"/>
      <c r="Q171" s="5"/>
      <c r="R171" s="5"/>
      <c r="S171" s="4"/>
      <c r="T171" s="2"/>
      <c r="U171" s="2"/>
      <c r="V171" s="2"/>
      <c r="W171" s="2"/>
      <c r="X171" s="6"/>
      <c r="Y171" s="162"/>
      <c r="Z171" s="163"/>
      <c r="AA171" s="162"/>
      <c r="AB171" s="162"/>
      <c r="AC171" s="162"/>
      <c r="AD171" s="163"/>
      <c r="AE171" s="163"/>
      <c r="AF171" s="163"/>
    </row>
    <row r="172" spans="1:32" ht="16.5" customHeight="1" x14ac:dyDescent="0.2">
      <c r="A172" s="2"/>
      <c r="B172" s="5"/>
      <c r="C172" s="2"/>
      <c r="D172" s="5"/>
      <c r="E172" s="2"/>
      <c r="F172" s="5"/>
      <c r="G172" s="2"/>
      <c r="H172" s="2"/>
      <c r="I172" s="5"/>
      <c r="J172" s="3"/>
      <c r="K172" s="5"/>
      <c r="L172" s="4"/>
      <c r="M172" s="2"/>
      <c r="N172" s="2"/>
      <c r="O172" s="5"/>
      <c r="P172" s="5"/>
      <c r="Q172" s="5"/>
      <c r="R172" s="5"/>
      <c r="S172" s="4"/>
      <c r="T172" s="2"/>
      <c r="U172" s="2"/>
      <c r="V172" s="2"/>
      <c r="W172" s="2"/>
      <c r="X172" s="6"/>
      <c r="Y172" s="162"/>
      <c r="Z172" s="163"/>
      <c r="AA172" s="162"/>
      <c r="AB172" s="162"/>
      <c r="AC172" s="162"/>
      <c r="AD172" s="163"/>
      <c r="AE172" s="163"/>
      <c r="AF172" s="163"/>
    </row>
    <row r="173" spans="1:32" ht="16.5" customHeight="1" x14ac:dyDescent="0.2">
      <c r="A173" s="2"/>
      <c r="B173" s="5"/>
      <c r="C173" s="2"/>
      <c r="D173" s="5"/>
      <c r="E173" s="2"/>
      <c r="F173" s="5"/>
      <c r="G173" s="2"/>
      <c r="H173" s="2"/>
      <c r="I173" s="5"/>
      <c r="J173" s="3"/>
      <c r="K173" s="5"/>
      <c r="L173" s="4"/>
      <c r="M173" s="2"/>
      <c r="N173" s="2"/>
      <c r="O173" s="5"/>
      <c r="P173" s="5"/>
      <c r="Q173" s="5"/>
      <c r="R173" s="5"/>
      <c r="S173" s="4"/>
      <c r="T173" s="2"/>
      <c r="U173" s="2"/>
      <c r="V173" s="2"/>
      <c r="W173" s="2"/>
      <c r="X173" s="6"/>
      <c r="Y173" s="162"/>
      <c r="Z173" s="163"/>
      <c r="AA173" s="162"/>
      <c r="AB173" s="162"/>
      <c r="AC173" s="162"/>
      <c r="AD173" s="163"/>
      <c r="AE173" s="163"/>
      <c r="AF173" s="163"/>
    </row>
    <row r="174" spans="1:32" ht="16.5" customHeight="1" x14ac:dyDescent="0.2">
      <c r="A174" s="2"/>
      <c r="B174" s="5"/>
      <c r="C174" s="2"/>
      <c r="D174" s="5"/>
      <c r="E174" s="2"/>
      <c r="F174" s="5"/>
      <c r="G174" s="2"/>
      <c r="H174" s="2"/>
      <c r="I174" s="5"/>
      <c r="J174" s="3"/>
      <c r="K174" s="5"/>
      <c r="L174" s="4"/>
      <c r="M174" s="2"/>
      <c r="N174" s="2"/>
      <c r="O174" s="5"/>
      <c r="P174" s="5"/>
      <c r="Q174" s="5"/>
      <c r="R174" s="5"/>
      <c r="S174" s="4"/>
      <c r="T174" s="2"/>
      <c r="U174" s="2"/>
      <c r="V174" s="2"/>
      <c r="W174" s="2"/>
      <c r="X174" s="6"/>
      <c r="Y174" s="162"/>
      <c r="Z174" s="163"/>
      <c r="AA174" s="162"/>
      <c r="AB174" s="162"/>
      <c r="AC174" s="162"/>
      <c r="AD174" s="163"/>
      <c r="AE174" s="163"/>
      <c r="AF174" s="163"/>
    </row>
    <row r="175" spans="1:32" ht="16.5" customHeight="1" x14ac:dyDescent="0.2">
      <c r="A175" s="2"/>
      <c r="B175" s="5"/>
      <c r="C175" s="2"/>
      <c r="D175" s="5"/>
      <c r="E175" s="2"/>
      <c r="F175" s="5"/>
      <c r="G175" s="2"/>
      <c r="H175" s="2"/>
      <c r="I175" s="5"/>
      <c r="J175" s="3"/>
      <c r="K175" s="5"/>
      <c r="L175" s="4"/>
      <c r="M175" s="2"/>
      <c r="N175" s="2"/>
      <c r="O175" s="5"/>
      <c r="P175" s="5"/>
      <c r="Q175" s="5"/>
      <c r="R175" s="5"/>
      <c r="S175" s="4"/>
      <c r="T175" s="2"/>
      <c r="U175" s="2"/>
      <c r="V175" s="2"/>
      <c r="W175" s="2"/>
      <c r="X175" s="6"/>
      <c r="Y175" s="162"/>
      <c r="Z175" s="163"/>
      <c r="AA175" s="162"/>
      <c r="AB175" s="162"/>
      <c r="AC175" s="162"/>
      <c r="AD175" s="163"/>
      <c r="AE175" s="163"/>
      <c r="AF175" s="163"/>
    </row>
    <row r="176" spans="1:32" ht="16.5" customHeight="1" x14ac:dyDescent="0.2">
      <c r="A176" s="2"/>
      <c r="B176" s="5"/>
      <c r="C176" s="2"/>
      <c r="D176" s="5"/>
      <c r="E176" s="2"/>
      <c r="F176" s="5"/>
      <c r="G176" s="2"/>
      <c r="H176" s="2"/>
      <c r="I176" s="5"/>
      <c r="J176" s="3"/>
      <c r="K176" s="5"/>
      <c r="L176" s="4"/>
      <c r="M176" s="2"/>
      <c r="N176" s="2"/>
      <c r="O176" s="5"/>
      <c r="P176" s="5"/>
      <c r="Q176" s="5"/>
      <c r="R176" s="5"/>
      <c r="S176" s="4"/>
      <c r="T176" s="2"/>
      <c r="U176" s="2"/>
      <c r="V176" s="2"/>
      <c r="W176" s="2"/>
      <c r="X176" s="6"/>
      <c r="Y176" s="162"/>
      <c r="Z176" s="163"/>
      <c r="AA176" s="162"/>
      <c r="AB176" s="162"/>
      <c r="AC176" s="162"/>
      <c r="AD176" s="163"/>
      <c r="AE176" s="163"/>
      <c r="AF176" s="163"/>
    </row>
    <row r="177" spans="1:32" ht="16.5" customHeight="1" x14ac:dyDescent="0.2">
      <c r="A177" s="2"/>
      <c r="B177" s="5"/>
      <c r="C177" s="2"/>
      <c r="D177" s="5"/>
      <c r="E177" s="2"/>
      <c r="F177" s="5"/>
      <c r="G177" s="2"/>
      <c r="H177" s="2"/>
      <c r="I177" s="5"/>
      <c r="J177" s="3"/>
      <c r="K177" s="5"/>
      <c r="L177" s="4"/>
      <c r="M177" s="2"/>
      <c r="N177" s="2"/>
      <c r="O177" s="5"/>
      <c r="P177" s="5"/>
      <c r="Q177" s="5"/>
      <c r="R177" s="5"/>
      <c r="S177" s="4"/>
      <c r="T177" s="2"/>
      <c r="U177" s="2"/>
      <c r="V177" s="2"/>
      <c r="W177" s="2"/>
      <c r="X177" s="6"/>
      <c r="Y177" s="162"/>
      <c r="Z177" s="163"/>
      <c r="AA177" s="162"/>
      <c r="AB177" s="162"/>
      <c r="AC177" s="162"/>
      <c r="AD177" s="163"/>
      <c r="AE177" s="163"/>
      <c r="AF177" s="163"/>
    </row>
    <row r="178" spans="1:32" ht="16.5" customHeight="1" x14ac:dyDescent="0.2">
      <c r="A178" s="2"/>
      <c r="B178" s="5"/>
      <c r="C178" s="2"/>
      <c r="D178" s="5"/>
      <c r="E178" s="2"/>
      <c r="F178" s="5"/>
      <c r="G178" s="2"/>
      <c r="H178" s="2"/>
      <c r="I178" s="5"/>
      <c r="J178" s="3"/>
      <c r="K178" s="5"/>
      <c r="L178" s="4"/>
      <c r="M178" s="2"/>
      <c r="N178" s="2"/>
      <c r="O178" s="5"/>
      <c r="P178" s="5"/>
      <c r="Q178" s="5"/>
      <c r="R178" s="5"/>
      <c r="S178" s="4"/>
      <c r="T178" s="2"/>
      <c r="U178" s="2"/>
      <c r="V178" s="2"/>
      <c r="W178" s="2"/>
      <c r="X178" s="6"/>
      <c r="Y178" s="162"/>
      <c r="Z178" s="163"/>
      <c r="AA178" s="162"/>
      <c r="AB178" s="162"/>
      <c r="AC178" s="162"/>
      <c r="AD178" s="163"/>
      <c r="AE178" s="163"/>
      <c r="AF178" s="163"/>
    </row>
    <row r="179" spans="1:32" ht="16.5" customHeight="1" x14ac:dyDescent="0.2">
      <c r="A179" s="2"/>
      <c r="B179" s="5"/>
      <c r="C179" s="2"/>
      <c r="D179" s="5"/>
      <c r="E179" s="2"/>
      <c r="F179" s="5"/>
      <c r="G179" s="2"/>
      <c r="H179" s="2"/>
      <c r="I179" s="5"/>
      <c r="J179" s="3"/>
      <c r="K179" s="5"/>
      <c r="L179" s="4"/>
      <c r="M179" s="2"/>
      <c r="N179" s="2"/>
      <c r="O179" s="5"/>
      <c r="P179" s="5"/>
      <c r="Q179" s="5"/>
      <c r="R179" s="5"/>
      <c r="S179" s="4"/>
      <c r="T179" s="2"/>
      <c r="U179" s="2"/>
      <c r="V179" s="2"/>
      <c r="W179" s="2"/>
      <c r="X179" s="6"/>
      <c r="Y179" s="162"/>
      <c r="Z179" s="163"/>
      <c r="AA179" s="162"/>
      <c r="AB179" s="162"/>
      <c r="AC179" s="162"/>
      <c r="AD179" s="163"/>
      <c r="AE179" s="163"/>
      <c r="AF179" s="163"/>
    </row>
    <row r="180" spans="1:32" ht="16.5" customHeight="1" x14ac:dyDescent="0.2">
      <c r="A180" s="2"/>
      <c r="B180" s="5"/>
      <c r="C180" s="2"/>
      <c r="D180" s="5"/>
      <c r="E180" s="2"/>
      <c r="F180" s="5"/>
      <c r="G180" s="2"/>
      <c r="H180" s="2"/>
      <c r="I180" s="5"/>
      <c r="J180" s="3"/>
      <c r="K180" s="5"/>
      <c r="L180" s="4"/>
      <c r="M180" s="2"/>
      <c r="N180" s="2"/>
      <c r="O180" s="5"/>
      <c r="P180" s="5"/>
      <c r="Q180" s="5"/>
      <c r="R180" s="5"/>
      <c r="S180" s="4"/>
      <c r="T180" s="2"/>
      <c r="U180" s="2"/>
      <c r="V180" s="2"/>
      <c r="W180" s="2"/>
      <c r="X180" s="6"/>
      <c r="Y180" s="162"/>
      <c r="Z180" s="163"/>
      <c r="AA180" s="162"/>
      <c r="AB180" s="162"/>
      <c r="AC180" s="162"/>
      <c r="AD180" s="163"/>
      <c r="AE180" s="163"/>
      <c r="AF180" s="163"/>
    </row>
    <row r="181" spans="1:32" ht="16.5" customHeight="1" x14ac:dyDescent="0.2">
      <c r="A181" s="2"/>
      <c r="B181" s="5"/>
      <c r="C181" s="2"/>
      <c r="D181" s="5"/>
      <c r="E181" s="2"/>
      <c r="F181" s="5"/>
      <c r="G181" s="2"/>
      <c r="H181" s="2"/>
      <c r="I181" s="5"/>
      <c r="J181" s="3"/>
      <c r="K181" s="5"/>
      <c r="L181" s="4"/>
      <c r="M181" s="2"/>
      <c r="N181" s="2"/>
      <c r="O181" s="5"/>
      <c r="P181" s="5"/>
      <c r="Q181" s="5"/>
      <c r="R181" s="5"/>
      <c r="S181" s="4"/>
      <c r="T181" s="2"/>
      <c r="U181" s="2"/>
      <c r="V181" s="2"/>
      <c r="W181" s="2"/>
      <c r="X181" s="6"/>
      <c r="Y181" s="162"/>
      <c r="Z181" s="163"/>
      <c r="AA181" s="162"/>
      <c r="AB181" s="162"/>
      <c r="AC181" s="162"/>
      <c r="AD181" s="163"/>
      <c r="AE181" s="163"/>
      <c r="AF181" s="163"/>
    </row>
    <row r="182" spans="1:32" ht="16.5" customHeight="1" x14ac:dyDescent="0.2">
      <c r="A182" s="2"/>
      <c r="B182" s="5"/>
      <c r="C182" s="2"/>
      <c r="D182" s="5"/>
      <c r="E182" s="2"/>
      <c r="F182" s="5"/>
      <c r="G182" s="2"/>
      <c r="H182" s="2"/>
      <c r="I182" s="5"/>
      <c r="J182" s="3"/>
      <c r="K182" s="5"/>
      <c r="L182" s="4"/>
      <c r="M182" s="2"/>
      <c r="N182" s="2"/>
      <c r="O182" s="5"/>
      <c r="P182" s="5"/>
      <c r="Q182" s="5"/>
      <c r="R182" s="5"/>
      <c r="S182" s="4"/>
      <c r="T182" s="2"/>
      <c r="U182" s="2"/>
      <c r="V182" s="2"/>
      <c r="W182" s="2"/>
      <c r="X182" s="6"/>
      <c r="Y182" s="162"/>
      <c r="Z182" s="163"/>
      <c r="AA182" s="162"/>
      <c r="AB182" s="162"/>
      <c r="AC182" s="162"/>
      <c r="AD182" s="163"/>
      <c r="AE182" s="163"/>
      <c r="AF182" s="163"/>
    </row>
    <row r="183" spans="1:32" ht="16.5" customHeight="1" x14ac:dyDescent="0.2">
      <c r="A183" s="2"/>
      <c r="B183" s="5"/>
      <c r="C183" s="2"/>
      <c r="D183" s="5"/>
      <c r="E183" s="2"/>
      <c r="F183" s="5"/>
      <c r="G183" s="2"/>
      <c r="H183" s="2"/>
      <c r="I183" s="5"/>
      <c r="J183" s="3"/>
      <c r="K183" s="5"/>
      <c r="L183" s="4"/>
      <c r="M183" s="2"/>
      <c r="N183" s="2"/>
      <c r="O183" s="5"/>
      <c r="P183" s="5"/>
      <c r="Q183" s="5"/>
      <c r="R183" s="5"/>
      <c r="S183" s="4"/>
      <c r="T183" s="2"/>
      <c r="U183" s="2"/>
      <c r="V183" s="2"/>
      <c r="W183" s="2"/>
      <c r="X183" s="6"/>
      <c r="Y183" s="162"/>
      <c r="Z183" s="163"/>
      <c r="AA183" s="162"/>
      <c r="AB183" s="162"/>
      <c r="AC183" s="162"/>
      <c r="AD183" s="163"/>
      <c r="AE183" s="163"/>
      <c r="AF183" s="163"/>
    </row>
    <row r="184" spans="1:32" ht="16.5" customHeight="1" x14ac:dyDescent="0.2">
      <c r="A184" s="2"/>
      <c r="B184" s="5"/>
      <c r="C184" s="2"/>
      <c r="D184" s="5"/>
      <c r="E184" s="2"/>
      <c r="F184" s="5"/>
      <c r="G184" s="2"/>
      <c r="H184" s="2"/>
      <c r="I184" s="5"/>
      <c r="J184" s="3"/>
      <c r="K184" s="5"/>
      <c r="L184" s="4"/>
      <c r="M184" s="2"/>
      <c r="N184" s="2"/>
      <c r="O184" s="5"/>
      <c r="P184" s="5"/>
      <c r="Q184" s="5"/>
      <c r="R184" s="5"/>
      <c r="S184" s="4"/>
      <c r="T184" s="2"/>
      <c r="U184" s="2"/>
      <c r="V184" s="2"/>
      <c r="W184" s="2"/>
      <c r="X184" s="6"/>
      <c r="Y184" s="162"/>
      <c r="Z184" s="163"/>
      <c r="AA184" s="162"/>
      <c r="AB184" s="162"/>
      <c r="AC184" s="162"/>
      <c r="AD184" s="163"/>
      <c r="AE184" s="163"/>
      <c r="AF184" s="163"/>
    </row>
    <row r="185" spans="1:32" ht="16.5" customHeight="1" x14ac:dyDescent="0.2">
      <c r="A185" s="2"/>
      <c r="B185" s="5"/>
      <c r="C185" s="2"/>
      <c r="D185" s="5"/>
      <c r="E185" s="2"/>
      <c r="F185" s="5"/>
      <c r="G185" s="2"/>
      <c r="H185" s="2"/>
      <c r="I185" s="5"/>
      <c r="J185" s="3"/>
      <c r="K185" s="5"/>
      <c r="L185" s="4"/>
      <c r="M185" s="2"/>
      <c r="N185" s="2"/>
      <c r="O185" s="5"/>
      <c r="P185" s="5"/>
      <c r="Q185" s="5"/>
      <c r="R185" s="5"/>
      <c r="S185" s="4"/>
      <c r="T185" s="2"/>
      <c r="U185" s="2"/>
      <c r="V185" s="2"/>
      <c r="W185" s="2"/>
      <c r="X185" s="6"/>
      <c r="Y185" s="162"/>
      <c r="Z185" s="163"/>
      <c r="AA185" s="162"/>
      <c r="AB185" s="162"/>
      <c r="AC185" s="162"/>
      <c r="AD185" s="163"/>
      <c r="AE185" s="163"/>
      <c r="AF185" s="163"/>
    </row>
    <row r="186" spans="1:32" ht="16.5" customHeight="1" x14ac:dyDescent="0.2">
      <c r="A186" s="2"/>
      <c r="B186" s="5"/>
      <c r="C186" s="2"/>
      <c r="D186" s="5"/>
      <c r="E186" s="2"/>
      <c r="F186" s="5"/>
      <c r="G186" s="2"/>
      <c r="H186" s="2"/>
      <c r="I186" s="5"/>
      <c r="J186" s="3"/>
      <c r="K186" s="5"/>
      <c r="L186" s="4"/>
      <c r="M186" s="2"/>
      <c r="N186" s="2"/>
      <c r="O186" s="5"/>
      <c r="P186" s="5"/>
      <c r="Q186" s="5"/>
      <c r="R186" s="5"/>
      <c r="S186" s="4"/>
      <c r="T186" s="2"/>
      <c r="U186" s="2"/>
      <c r="V186" s="2"/>
      <c r="W186" s="2"/>
      <c r="X186" s="6"/>
      <c r="Y186" s="162"/>
      <c r="Z186" s="163"/>
      <c r="AA186" s="162"/>
      <c r="AB186" s="162"/>
      <c r="AC186" s="162"/>
      <c r="AD186" s="163"/>
      <c r="AE186" s="163"/>
      <c r="AF186" s="163"/>
    </row>
    <row r="187" spans="1:32" ht="16.5" customHeight="1" x14ac:dyDescent="0.2">
      <c r="A187" s="2"/>
      <c r="B187" s="5"/>
      <c r="C187" s="2"/>
      <c r="D187" s="5"/>
      <c r="E187" s="2"/>
      <c r="F187" s="5"/>
      <c r="G187" s="2"/>
      <c r="H187" s="2"/>
      <c r="I187" s="5"/>
      <c r="J187" s="3"/>
      <c r="K187" s="5"/>
      <c r="L187" s="4"/>
      <c r="M187" s="2"/>
      <c r="N187" s="2"/>
      <c r="O187" s="5"/>
      <c r="P187" s="5"/>
      <c r="Q187" s="5"/>
      <c r="R187" s="5"/>
      <c r="S187" s="4"/>
      <c r="T187" s="2"/>
      <c r="U187" s="2"/>
      <c r="V187" s="2"/>
      <c r="W187" s="2"/>
      <c r="X187" s="6"/>
      <c r="Y187" s="162"/>
      <c r="Z187" s="163"/>
      <c r="AA187" s="162"/>
      <c r="AB187" s="162"/>
      <c r="AC187" s="162"/>
      <c r="AD187" s="163"/>
      <c r="AE187" s="163"/>
      <c r="AF187" s="163"/>
    </row>
    <row r="188" spans="1:32" ht="16.5" customHeight="1" x14ac:dyDescent="0.2">
      <c r="A188" s="2"/>
      <c r="B188" s="5"/>
      <c r="C188" s="2"/>
      <c r="D188" s="5"/>
      <c r="E188" s="2"/>
      <c r="F188" s="5"/>
      <c r="G188" s="2"/>
      <c r="H188" s="2"/>
      <c r="I188" s="5"/>
      <c r="J188" s="3"/>
      <c r="K188" s="5"/>
      <c r="L188" s="4"/>
      <c r="M188" s="2"/>
      <c r="N188" s="2"/>
      <c r="O188" s="5"/>
      <c r="P188" s="5"/>
      <c r="Q188" s="5"/>
      <c r="R188" s="5"/>
      <c r="S188" s="4"/>
      <c r="T188" s="2"/>
      <c r="U188" s="2"/>
      <c r="V188" s="2"/>
      <c r="W188" s="2"/>
      <c r="X188" s="6"/>
      <c r="Y188" s="162"/>
      <c r="Z188" s="163"/>
      <c r="AA188" s="162"/>
      <c r="AB188" s="162"/>
      <c r="AC188" s="162"/>
      <c r="AD188" s="163"/>
      <c r="AE188" s="163"/>
      <c r="AF188" s="163"/>
    </row>
    <row r="189" spans="1:32" ht="16.5" customHeight="1" x14ac:dyDescent="0.2">
      <c r="A189" s="2"/>
      <c r="B189" s="5"/>
      <c r="C189" s="2"/>
      <c r="D189" s="5"/>
      <c r="E189" s="2"/>
      <c r="F189" s="5"/>
      <c r="G189" s="2"/>
      <c r="H189" s="2"/>
      <c r="I189" s="5"/>
      <c r="J189" s="3"/>
      <c r="K189" s="5"/>
      <c r="L189" s="4"/>
      <c r="M189" s="2"/>
      <c r="N189" s="2"/>
      <c r="O189" s="5"/>
      <c r="P189" s="5"/>
      <c r="Q189" s="5"/>
      <c r="R189" s="5"/>
      <c r="S189" s="4"/>
      <c r="T189" s="2"/>
      <c r="U189" s="2"/>
      <c r="V189" s="2"/>
      <c r="W189" s="2"/>
      <c r="X189" s="6"/>
      <c r="Y189" s="162"/>
      <c r="Z189" s="163"/>
      <c r="AA189" s="162"/>
      <c r="AB189" s="162"/>
      <c r="AC189" s="162"/>
      <c r="AD189" s="163"/>
      <c r="AE189" s="163"/>
      <c r="AF189" s="163"/>
    </row>
    <row r="190" spans="1:32" ht="16.5" customHeight="1" x14ac:dyDescent="0.2">
      <c r="A190" s="2"/>
      <c r="B190" s="5"/>
      <c r="C190" s="2"/>
      <c r="D190" s="5"/>
      <c r="E190" s="2"/>
      <c r="F190" s="5"/>
      <c r="G190" s="2"/>
      <c r="H190" s="2"/>
      <c r="I190" s="5"/>
      <c r="J190" s="3"/>
      <c r="K190" s="5"/>
      <c r="L190" s="4"/>
      <c r="M190" s="2"/>
      <c r="N190" s="2"/>
      <c r="O190" s="5"/>
      <c r="P190" s="5"/>
      <c r="Q190" s="5"/>
      <c r="R190" s="5"/>
      <c r="S190" s="4"/>
      <c r="T190" s="2"/>
      <c r="U190" s="2"/>
      <c r="V190" s="2"/>
      <c r="W190" s="2"/>
      <c r="X190" s="6"/>
      <c r="Y190" s="162"/>
      <c r="Z190" s="163"/>
      <c r="AA190" s="162"/>
      <c r="AB190" s="162"/>
      <c r="AC190" s="162"/>
      <c r="AD190" s="163"/>
      <c r="AE190" s="163"/>
      <c r="AF190" s="163"/>
    </row>
    <row r="191" spans="1:32" ht="16.5" customHeight="1" x14ac:dyDescent="0.2">
      <c r="A191" s="2"/>
      <c r="B191" s="5"/>
      <c r="C191" s="2"/>
      <c r="D191" s="5"/>
      <c r="E191" s="2"/>
      <c r="F191" s="5"/>
      <c r="G191" s="2"/>
      <c r="H191" s="2"/>
      <c r="I191" s="5"/>
      <c r="J191" s="3"/>
      <c r="K191" s="5"/>
      <c r="L191" s="4"/>
      <c r="M191" s="2"/>
      <c r="N191" s="2"/>
      <c r="O191" s="5"/>
      <c r="P191" s="5"/>
      <c r="Q191" s="5"/>
      <c r="R191" s="5"/>
      <c r="S191" s="4"/>
      <c r="T191" s="2"/>
      <c r="U191" s="2"/>
      <c r="V191" s="2"/>
      <c r="W191" s="2"/>
      <c r="X191" s="6"/>
      <c r="Y191" s="162"/>
      <c r="Z191" s="163"/>
      <c r="AA191" s="162"/>
      <c r="AB191" s="162"/>
      <c r="AC191" s="162"/>
      <c r="AD191" s="163"/>
      <c r="AE191" s="163"/>
      <c r="AF191" s="163"/>
    </row>
    <row r="192" spans="1:32" ht="16.5" customHeight="1" x14ac:dyDescent="0.2">
      <c r="A192" s="2"/>
      <c r="B192" s="5"/>
      <c r="C192" s="2"/>
      <c r="D192" s="5"/>
      <c r="E192" s="2"/>
      <c r="F192" s="5"/>
      <c r="G192" s="2"/>
      <c r="H192" s="2"/>
      <c r="I192" s="5"/>
      <c r="J192" s="3"/>
      <c r="K192" s="5"/>
      <c r="L192" s="4"/>
      <c r="M192" s="2"/>
      <c r="N192" s="2"/>
      <c r="O192" s="5"/>
      <c r="P192" s="5"/>
      <c r="Q192" s="5"/>
      <c r="R192" s="5"/>
      <c r="S192" s="4"/>
      <c r="T192" s="2"/>
      <c r="U192" s="2"/>
      <c r="V192" s="2"/>
      <c r="W192" s="2"/>
      <c r="X192" s="6"/>
      <c r="Y192" s="162"/>
      <c r="Z192" s="163"/>
      <c r="AA192" s="162"/>
      <c r="AB192" s="162"/>
      <c r="AC192" s="162"/>
      <c r="AD192" s="163"/>
      <c r="AE192" s="163"/>
      <c r="AF192" s="163"/>
    </row>
    <row r="193" spans="1:32" ht="16.5" customHeight="1" x14ac:dyDescent="0.2">
      <c r="A193" s="2"/>
      <c r="B193" s="5"/>
      <c r="C193" s="2"/>
      <c r="D193" s="5"/>
      <c r="E193" s="2"/>
      <c r="F193" s="5"/>
      <c r="G193" s="2"/>
      <c r="H193" s="2"/>
      <c r="I193" s="5"/>
      <c r="J193" s="3"/>
      <c r="K193" s="5"/>
      <c r="L193" s="4"/>
      <c r="M193" s="2"/>
      <c r="N193" s="2"/>
      <c r="O193" s="5"/>
      <c r="P193" s="5"/>
      <c r="Q193" s="5"/>
      <c r="R193" s="5"/>
      <c r="S193" s="4"/>
      <c r="T193" s="2"/>
      <c r="U193" s="2"/>
      <c r="V193" s="2"/>
      <c r="W193" s="2"/>
      <c r="X193" s="6"/>
      <c r="Y193" s="162"/>
      <c r="Z193" s="163"/>
      <c r="AA193" s="162"/>
      <c r="AB193" s="162"/>
      <c r="AC193" s="162"/>
      <c r="AD193" s="163"/>
      <c r="AE193" s="163"/>
      <c r="AF193" s="163"/>
    </row>
    <row r="194" spans="1:32" ht="16.5" customHeight="1" x14ac:dyDescent="0.2">
      <c r="A194" s="2"/>
      <c r="B194" s="5"/>
      <c r="C194" s="2"/>
      <c r="D194" s="5"/>
      <c r="E194" s="2"/>
      <c r="F194" s="5"/>
      <c r="G194" s="2"/>
      <c r="H194" s="2"/>
      <c r="I194" s="5"/>
      <c r="J194" s="3"/>
      <c r="K194" s="5"/>
      <c r="L194" s="4"/>
      <c r="M194" s="2"/>
      <c r="N194" s="2"/>
      <c r="O194" s="5"/>
      <c r="P194" s="5"/>
      <c r="Q194" s="5"/>
      <c r="R194" s="5"/>
      <c r="S194" s="4"/>
      <c r="T194" s="2"/>
      <c r="U194" s="2"/>
      <c r="V194" s="2"/>
      <c r="W194" s="2"/>
      <c r="X194" s="6"/>
      <c r="Y194" s="162"/>
      <c r="Z194" s="163"/>
      <c r="AA194" s="162"/>
      <c r="AB194" s="162"/>
      <c r="AC194" s="162"/>
      <c r="AD194" s="163"/>
      <c r="AE194" s="163"/>
      <c r="AF194" s="163"/>
    </row>
    <row r="195" spans="1:32" ht="16.5" customHeight="1" x14ac:dyDescent="0.2">
      <c r="A195" s="2"/>
      <c r="B195" s="5"/>
      <c r="C195" s="2"/>
      <c r="D195" s="5"/>
      <c r="E195" s="2"/>
      <c r="F195" s="5"/>
      <c r="G195" s="2"/>
      <c r="H195" s="2"/>
      <c r="I195" s="5"/>
      <c r="J195" s="3"/>
      <c r="K195" s="5"/>
      <c r="L195" s="4"/>
      <c r="M195" s="2"/>
      <c r="N195" s="2"/>
      <c r="O195" s="5"/>
      <c r="P195" s="5"/>
      <c r="Q195" s="5"/>
      <c r="R195" s="5"/>
      <c r="S195" s="4"/>
      <c r="T195" s="2"/>
      <c r="U195" s="2"/>
      <c r="V195" s="2"/>
      <c r="W195" s="2"/>
      <c r="X195" s="6"/>
      <c r="Y195" s="162"/>
      <c r="Z195" s="163"/>
      <c r="AA195" s="162"/>
      <c r="AB195" s="162"/>
      <c r="AC195" s="162"/>
      <c r="AD195" s="163"/>
      <c r="AE195" s="163"/>
      <c r="AF195" s="163"/>
    </row>
    <row r="196" spans="1:32" ht="16.5" customHeight="1" x14ac:dyDescent="0.2">
      <c r="A196" s="2"/>
      <c r="B196" s="5"/>
      <c r="C196" s="2"/>
      <c r="D196" s="5"/>
      <c r="E196" s="2"/>
      <c r="F196" s="5"/>
      <c r="G196" s="2"/>
      <c r="H196" s="2"/>
      <c r="I196" s="5"/>
      <c r="J196" s="3"/>
      <c r="K196" s="5"/>
      <c r="L196" s="4"/>
      <c r="M196" s="2"/>
      <c r="N196" s="2"/>
      <c r="O196" s="5"/>
      <c r="P196" s="5"/>
      <c r="Q196" s="5"/>
      <c r="R196" s="5"/>
      <c r="S196" s="4"/>
      <c r="T196" s="2"/>
      <c r="U196" s="2"/>
      <c r="V196" s="2"/>
      <c r="W196" s="2"/>
      <c r="X196" s="6"/>
      <c r="Y196" s="162"/>
      <c r="Z196" s="163"/>
      <c r="AA196" s="162"/>
      <c r="AB196" s="162"/>
      <c r="AC196" s="162"/>
      <c r="AD196" s="163"/>
      <c r="AE196" s="163"/>
      <c r="AF196" s="163"/>
    </row>
    <row r="197" spans="1:32" ht="16.5" customHeight="1" x14ac:dyDescent="0.2">
      <c r="A197" s="2"/>
      <c r="B197" s="5"/>
      <c r="C197" s="2"/>
      <c r="D197" s="5"/>
      <c r="E197" s="2"/>
      <c r="F197" s="5"/>
      <c r="G197" s="2"/>
      <c r="H197" s="2"/>
      <c r="I197" s="5"/>
      <c r="J197" s="3"/>
      <c r="K197" s="5"/>
      <c r="L197" s="4"/>
      <c r="M197" s="2"/>
      <c r="N197" s="2"/>
      <c r="O197" s="5"/>
      <c r="P197" s="5"/>
      <c r="Q197" s="5"/>
      <c r="R197" s="5"/>
      <c r="S197" s="4"/>
      <c r="T197" s="2"/>
      <c r="U197" s="2"/>
      <c r="V197" s="2"/>
      <c r="W197" s="2"/>
      <c r="X197" s="6"/>
      <c r="Y197" s="162"/>
      <c r="Z197" s="163"/>
      <c r="AA197" s="162"/>
      <c r="AB197" s="162"/>
      <c r="AC197" s="162"/>
      <c r="AD197" s="163"/>
      <c r="AE197" s="163"/>
      <c r="AF197" s="163"/>
    </row>
    <row r="198" spans="1:32" ht="16.5" customHeight="1" x14ac:dyDescent="0.2">
      <c r="A198" s="2"/>
      <c r="B198" s="5"/>
      <c r="C198" s="2"/>
      <c r="D198" s="5"/>
      <c r="E198" s="2"/>
      <c r="F198" s="5"/>
      <c r="G198" s="2"/>
      <c r="H198" s="2"/>
      <c r="I198" s="5"/>
      <c r="J198" s="3"/>
      <c r="K198" s="5"/>
      <c r="L198" s="4"/>
      <c r="M198" s="2"/>
      <c r="N198" s="2"/>
      <c r="O198" s="5"/>
      <c r="P198" s="5"/>
      <c r="Q198" s="5"/>
      <c r="R198" s="5"/>
      <c r="S198" s="4"/>
      <c r="T198" s="2"/>
      <c r="U198" s="2"/>
      <c r="V198" s="2"/>
      <c r="W198" s="2"/>
      <c r="X198" s="6"/>
      <c r="Y198" s="162"/>
      <c r="Z198" s="163"/>
      <c r="AA198" s="162"/>
      <c r="AB198" s="162"/>
      <c r="AC198" s="162"/>
      <c r="AD198" s="163"/>
      <c r="AE198" s="163"/>
      <c r="AF198" s="163"/>
    </row>
    <row r="199" spans="1:32" ht="16.5" customHeight="1" x14ac:dyDescent="0.2">
      <c r="A199" s="2"/>
      <c r="B199" s="5"/>
      <c r="C199" s="2"/>
      <c r="D199" s="5"/>
      <c r="E199" s="2"/>
      <c r="F199" s="5"/>
      <c r="G199" s="2"/>
      <c r="H199" s="2"/>
      <c r="I199" s="5"/>
      <c r="J199" s="3"/>
      <c r="K199" s="5"/>
      <c r="L199" s="4"/>
      <c r="M199" s="2"/>
      <c r="N199" s="2"/>
      <c r="O199" s="5"/>
      <c r="P199" s="5"/>
      <c r="Q199" s="5"/>
      <c r="R199" s="5"/>
      <c r="S199" s="4"/>
      <c r="T199" s="2"/>
      <c r="U199" s="2"/>
      <c r="V199" s="2"/>
      <c r="W199" s="2"/>
      <c r="X199" s="6"/>
      <c r="Y199" s="162"/>
      <c r="Z199" s="163"/>
      <c r="AA199" s="162"/>
      <c r="AB199" s="162"/>
      <c r="AC199" s="162"/>
      <c r="AD199" s="163"/>
      <c r="AE199" s="163"/>
      <c r="AF199" s="163"/>
    </row>
    <row r="200" spans="1:32" ht="16.5" customHeight="1" x14ac:dyDescent="0.2">
      <c r="A200" s="2"/>
      <c r="B200" s="5"/>
      <c r="C200" s="2"/>
      <c r="D200" s="5"/>
      <c r="E200" s="2"/>
      <c r="F200" s="5"/>
      <c r="G200" s="2"/>
      <c r="H200" s="2"/>
      <c r="I200" s="5"/>
      <c r="J200" s="3"/>
      <c r="K200" s="5"/>
      <c r="L200" s="4"/>
      <c r="M200" s="2"/>
      <c r="N200" s="2"/>
      <c r="O200" s="5"/>
      <c r="P200" s="5"/>
      <c r="Q200" s="5"/>
      <c r="R200" s="5"/>
      <c r="S200" s="4"/>
      <c r="T200" s="2"/>
      <c r="U200" s="2"/>
      <c r="V200" s="2"/>
      <c r="W200" s="2"/>
      <c r="X200" s="6"/>
      <c r="Y200" s="162"/>
      <c r="Z200" s="163"/>
      <c r="AA200" s="162"/>
      <c r="AB200" s="162"/>
      <c r="AC200" s="162"/>
      <c r="AD200" s="163"/>
      <c r="AE200" s="163"/>
      <c r="AF200" s="163"/>
    </row>
    <row r="201" spans="1:32" ht="16.5" customHeight="1" x14ac:dyDescent="0.2">
      <c r="A201" s="2"/>
      <c r="B201" s="5"/>
      <c r="C201" s="2"/>
      <c r="D201" s="5"/>
      <c r="E201" s="2"/>
      <c r="F201" s="5"/>
      <c r="G201" s="2"/>
      <c r="H201" s="2"/>
      <c r="I201" s="5"/>
      <c r="J201" s="3"/>
      <c r="K201" s="5"/>
      <c r="L201" s="4"/>
      <c r="M201" s="2"/>
      <c r="N201" s="2"/>
      <c r="O201" s="5"/>
      <c r="P201" s="5"/>
      <c r="Q201" s="5"/>
      <c r="R201" s="5"/>
      <c r="S201" s="4"/>
      <c r="T201" s="2"/>
      <c r="U201" s="2"/>
      <c r="V201" s="2"/>
      <c r="W201" s="2"/>
      <c r="X201" s="6"/>
      <c r="Y201" s="162"/>
      <c r="Z201" s="163"/>
      <c r="AA201" s="162"/>
      <c r="AB201" s="162"/>
      <c r="AC201" s="162"/>
      <c r="AD201" s="163"/>
      <c r="AE201" s="163"/>
      <c r="AF201" s="163"/>
    </row>
    <row r="202" spans="1:32" ht="16.5" customHeight="1" x14ac:dyDescent="0.2">
      <c r="A202" s="2"/>
      <c r="B202" s="5"/>
      <c r="C202" s="2"/>
      <c r="D202" s="5"/>
      <c r="E202" s="2"/>
      <c r="F202" s="5"/>
      <c r="G202" s="2"/>
      <c r="H202" s="2"/>
      <c r="I202" s="5"/>
      <c r="J202" s="3"/>
      <c r="K202" s="5"/>
      <c r="L202" s="4"/>
      <c r="M202" s="2"/>
      <c r="N202" s="2"/>
      <c r="O202" s="5"/>
      <c r="P202" s="5"/>
      <c r="Q202" s="5"/>
      <c r="R202" s="5"/>
      <c r="S202" s="4"/>
      <c r="T202" s="2"/>
      <c r="U202" s="2"/>
      <c r="V202" s="2"/>
      <c r="W202" s="2"/>
      <c r="X202" s="6"/>
      <c r="Y202" s="162"/>
      <c r="Z202" s="163"/>
      <c r="AA202" s="162"/>
      <c r="AB202" s="162"/>
      <c r="AC202" s="162"/>
      <c r="AD202" s="163"/>
      <c r="AE202" s="163"/>
      <c r="AF202" s="163"/>
    </row>
    <row r="203" spans="1:32" ht="16.5" customHeight="1" x14ac:dyDescent="0.2">
      <c r="A203" s="2"/>
      <c r="B203" s="5"/>
      <c r="C203" s="2"/>
      <c r="D203" s="5"/>
      <c r="E203" s="2"/>
      <c r="F203" s="5"/>
      <c r="G203" s="2"/>
      <c r="H203" s="2"/>
      <c r="I203" s="5"/>
      <c r="J203" s="3"/>
      <c r="K203" s="5"/>
      <c r="L203" s="4"/>
      <c r="M203" s="2"/>
      <c r="N203" s="2"/>
      <c r="O203" s="5"/>
      <c r="P203" s="5"/>
      <c r="Q203" s="5"/>
      <c r="R203" s="5"/>
      <c r="S203" s="4"/>
      <c r="T203" s="2"/>
      <c r="U203" s="2"/>
      <c r="V203" s="2"/>
      <c r="W203" s="2"/>
      <c r="X203" s="6"/>
      <c r="Y203" s="162"/>
      <c r="Z203" s="163"/>
      <c r="AA203" s="162"/>
      <c r="AB203" s="162"/>
      <c r="AC203" s="162"/>
      <c r="AD203" s="163"/>
      <c r="AE203" s="163"/>
      <c r="AF203" s="163"/>
    </row>
    <row r="204" spans="1:32" ht="16.5" customHeight="1" x14ac:dyDescent="0.2">
      <c r="A204" s="2"/>
      <c r="B204" s="5"/>
      <c r="C204" s="2"/>
      <c r="D204" s="5"/>
      <c r="E204" s="2"/>
      <c r="F204" s="5"/>
      <c r="G204" s="2"/>
      <c r="H204" s="2"/>
      <c r="I204" s="5"/>
      <c r="J204" s="3"/>
      <c r="K204" s="5"/>
      <c r="L204" s="4"/>
      <c r="M204" s="2"/>
      <c r="N204" s="2"/>
      <c r="O204" s="5"/>
      <c r="P204" s="5"/>
      <c r="Q204" s="5"/>
      <c r="R204" s="5"/>
      <c r="S204" s="4"/>
      <c r="T204" s="2"/>
      <c r="U204" s="2"/>
      <c r="V204" s="2"/>
      <c r="W204" s="2"/>
      <c r="X204" s="6"/>
      <c r="Y204" s="162"/>
      <c r="Z204" s="163"/>
      <c r="AA204" s="162"/>
      <c r="AB204" s="162"/>
      <c r="AC204" s="162"/>
      <c r="AD204" s="163"/>
      <c r="AE204" s="163"/>
      <c r="AF204" s="163"/>
    </row>
    <row r="205" spans="1:32" ht="16.5" customHeight="1" x14ac:dyDescent="0.2">
      <c r="A205" s="2"/>
      <c r="B205" s="5"/>
      <c r="C205" s="2"/>
      <c r="D205" s="5"/>
      <c r="E205" s="2"/>
      <c r="F205" s="5"/>
      <c r="G205" s="2"/>
      <c r="H205" s="2"/>
      <c r="I205" s="5"/>
      <c r="J205" s="3"/>
      <c r="K205" s="5"/>
      <c r="L205" s="4"/>
      <c r="M205" s="2"/>
      <c r="N205" s="2"/>
      <c r="O205" s="5"/>
      <c r="P205" s="5"/>
      <c r="Q205" s="5"/>
      <c r="R205" s="5"/>
      <c r="S205" s="4"/>
      <c r="T205" s="2"/>
      <c r="U205" s="2"/>
      <c r="V205" s="2"/>
      <c r="W205" s="2"/>
      <c r="X205" s="6"/>
      <c r="Y205" s="162"/>
      <c r="Z205" s="163"/>
      <c r="AA205" s="162"/>
      <c r="AB205" s="162"/>
      <c r="AC205" s="162"/>
      <c r="AD205" s="163"/>
      <c r="AE205" s="163"/>
      <c r="AF205" s="163"/>
    </row>
    <row r="206" spans="1:32" ht="16.5" customHeight="1" x14ac:dyDescent="0.2">
      <c r="A206" s="2"/>
      <c r="B206" s="5"/>
      <c r="C206" s="2"/>
      <c r="D206" s="5"/>
      <c r="E206" s="2"/>
      <c r="F206" s="5"/>
      <c r="G206" s="2"/>
      <c r="H206" s="2"/>
      <c r="I206" s="5"/>
      <c r="J206" s="3"/>
      <c r="K206" s="5"/>
      <c r="L206" s="4"/>
      <c r="M206" s="2"/>
      <c r="N206" s="2"/>
      <c r="O206" s="5"/>
      <c r="P206" s="5"/>
      <c r="Q206" s="5"/>
      <c r="R206" s="5"/>
      <c r="S206" s="4"/>
      <c r="T206" s="2"/>
      <c r="U206" s="2"/>
      <c r="V206" s="2"/>
      <c r="W206" s="2"/>
      <c r="X206" s="6"/>
      <c r="Y206" s="162"/>
      <c r="Z206" s="163"/>
      <c r="AA206" s="162"/>
      <c r="AB206" s="162"/>
      <c r="AC206" s="162"/>
      <c r="AD206" s="163"/>
      <c r="AE206" s="163"/>
      <c r="AF206" s="163"/>
    </row>
    <row r="207" spans="1:32" ht="16.5" customHeight="1" x14ac:dyDescent="0.2">
      <c r="A207" s="2"/>
      <c r="B207" s="5"/>
      <c r="C207" s="2"/>
      <c r="D207" s="5"/>
      <c r="E207" s="2"/>
      <c r="F207" s="5"/>
      <c r="G207" s="2"/>
      <c r="H207" s="2"/>
      <c r="I207" s="5"/>
      <c r="J207" s="3"/>
      <c r="K207" s="5"/>
      <c r="L207" s="4"/>
      <c r="M207" s="2"/>
      <c r="N207" s="2"/>
      <c r="O207" s="5"/>
      <c r="P207" s="5"/>
      <c r="Q207" s="5"/>
      <c r="R207" s="5"/>
      <c r="S207" s="4"/>
      <c r="T207" s="2"/>
      <c r="U207" s="2"/>
      <c r="V207" s="2"/>
      <c r="W207" s="2"/>
      <c r="X207" s="6"/>
      <c r="Y207" s="162"/>
      <c r="Z207" s="163"/>
      <c r="AA207" s="162"/>
      <c r="AB207" s="162"/>
      <c r="AC207" s="162"/>
      <c r="AD207" s="163"/>
      <c r="AE207" s="163"/>
      <c r="AF207" s="163"/>
    </row>
    <row r="208" spans="1:32" ht="16.5" customHeight="1" x14ac:dyDescent="0.2">
      <c r="A208" s="2"/>
      <c r="B208" s="5"/>
      <c r="C208" s="2"/>
      <c r="D208" s="5"/>
      <c r="E208" s="2"/>
      <c r="F208" s="5"/>
      <c r="G208" s="2"/>
      <c r="H208" s="2"/>
      <c r="I208" s="5"/>
      <c r="J208" s="3"/>
      <c r="K208" s="5"/>
      <c r="L208" s="4"/>
      <c r="M208" s="2"/>
      <c r="N208" s="2"/>
      <c r="O208" s="5"/>
      <c r="P208" s="5"/>
      <c r="Q208" s="5"/>
      <c r="R208" s="5"/>
      <c r="S208" s="4"/>
      <c r="T208" s="2"/>
      <c r="U208" s="2"/>
      <c r="V208" s="2"/>
      <c r="W208" s="2"/>
      <c r="X208" s="6"/>
      <c r="Y208" s="162"/>
      <c r="Z208" s="163"/>
      <c r="AA208" s="162"/>
      <c r="AB208" s="162"/>
      <c r="AC208" s="162"/>
      <c r="AD208" s="163"/>
      <c r="AE208" s="163"/>
      <c r="AF208" s="163"/>
    </row>
    <row r="209" spans="1:32" ht="16.5" customHeight="1" x14ac:dyDescent="0.2">
      <c r="A209" s="2"/>
      <c r="B209" s="5"/>
      <c r="C209" s="2"/>
      <c r="D209" s="5"/>
      <c r="E209" s="2"/>
      <c r="F209" s="5"/>
      <c r="G209" s="2"/>
      <c r="H209" s="2"/>
      <c r="I209" s="5"/>
      <c r="J209" s="3"/>
      <c r="K209" s="5"/>
      <c r="L209" s="4"/>
      <c r="M209" s="2"/>
      <c r="N209" s="2"/>
      <c r="O209" s="5"/>
      <c r="P209" s="5"/>
      <c r="Q209" s="5"/>
      <c r="R209" s="5"/>
      <c r="S209" s="4"/>
      <c r="T209" s="2"/>
      <c r="U209" s="2"/>
      <c r="V209" s="2"/>
      <c r="W209" s="2"/>
      <c r="X209" s="6"/>
      <c r="Y209" s="162"/>
      <c r="Z209" s="163"/>
      <c r="AA209" s="162"/>
      <c r="AB209" s="162"/>
      <c r="AC209" s="162"/>
      <c r="AD209" s="163"/>
      <c r="AE209" s="163"/>
      <c r="AF209" s="163"/>
    </row>
    <row r="210" spans="1:32" ht="16.5" customHeight="1" x14ac:dyDescent="0.2">
      <c r="A210" s="2"/>
      <c r="B210" s="5"/>
      <c r="C210" s="2"/>
      <c r="D210" s="5"/>
      <c r="E210" s="2"/>
      <c r="F210" s="5"/>
      <c r="G210" s="2"/>
      <c r="H210" s="2"/>
      <c r="I210" s="5"/>
      <c r="J210" s="3"/>
      <c r="K210" s="5"/>
      <c r="L210" s="4"/>
      <c r="M210" s="2"/>
      <c r="N210" s="2"/>
      <c r="O210" s="5"/>
      <c r="P210" s="5"/>
      <c r="Q210" s="5"/>
      <c r="R210" s="5"/>
      <c r="S210" s="4"/>
      <c r="T210" s="2"/>
      <c r="U210" s="2"/>
      <c r="V210" s="2"/>
      <c r="W210" s="2"/>
      <c r="X210" s="6"/>
      <c r="Y210" s="162"/>
      <c r="Z210" s="163"/>
      <c r="AA210" s="162"/>
      <c r="AB210" s="162"/>
      <c r="AC210" s="162"/>
      <c r="AD210" s="163"/>
      <c r="AE210" s="163"/>
      <c r="AF210" s="163"/>
    </row>
    <row r="211" spans="1:32" ht="16.5" customHeight="1" x14ac:dyDescent="0.2">
      <c r="A211" s="2"/>
      <c r="B211" s="5"/>
      <c r="C211" s="2"/>
      <c r="D211" s="5"/>
      <c r="E211" s="2"/>
      <c r="F211" s="5"/>
      <c r="G211" s="2"/>
      <c r="H211" s="2"/>
      <c r="I211" s="5"/>
      <c r="J211" s="3"/>
      <c r="K211" s="5"/>
      <c r="L211" s="4"/>
      <c r="M211" s="2"/>
      <c r="N211" s="2"/>
      <c r="O211" s="5"/>
      <c r="P211" s="5"/>
      <c r="Q211" s="5"/>
      <c r="R211" s="5"/>
      <c r="S211" s="4"/>
      <c r="T211" s="2"/>
      <c r="U211" s="2"/>
      <c r="V211" s="2"/>
      <c r="W211" s="2"/>
      <c r="X211" s="6"/>
      <c r="Y211" s="162"/>
      <c r="Z211" s="163"/>
      <c r="AA211" s="162"/>
      <c r="AB211" s="162"/>
      <c r="AC211" s="162"/>
      <c r="AD211" s="163"/>
      <c r="AE211" s="163"/>
      <c r="AF211" s="163"/>
    </row>
    <row r="212" spans="1:32" ht="16.5" customHeight="1" x14ac:dyDescent="0.2">
      <c r="A212" s="2"/>
      <c r="B212" s="5"/>
      <c r="C212" s="2"/>
      <c r="D212" s="5"/>
      <c r="E212" s="2"/>
      <c r="F212" s="5"/>
      <c r="G212" s="2"/>
      <c r="H212" s="2"/>
      <c r="I212" s="5"/>
      <c r="J212" s="3"/>
      <c r="K212" s="5"/>
      <c r="L212" s="4"/>
      <c r="M212" s="2"/>
      <c r="N212" s="2"/>
      <c r="O212" s="5"/>
      <c r="P212" s="5"/>
      <c r="Q212" s="5"/>
      <c r="R212" s="5"/>
      <c r="S212" s="4"/>
      <c r="T212" s="2"/>
      <c r="U212" s="2"/>
      <c r="V212" s="2"/>
      <c r="W212" s="2"/>
      <c r="X212" s="6"/>
      <c r="Y212" s="162"/>
      <c r="Z212" s="163"/>
      <c r="AA212" s="162"/>
      <c r="AB212" s="162"/>
      <c r="AC212" s="162"/>
      <c r="AD212" s="163"/>
      <c r="AE212" s="163"/>
      <c r="AF212" s="163"/>
    </row>
    <row r="213" spans="1:32" ht="16.5" customHeight="1" x14ac:dyDescent="0.2">
      <c r="A213" s="2"/>
      <c r="B213" s="5"/>
      <c r="C213" s="2"/>
      <c r="D213" s="5"/>
      <c r="E213" s="2"/>
      <c r="F213" s="5"/>
      <c r="G213" s="2"/>
      <c r="H213" s="2"/>
      <c r="I213" s="5"/>
      <c r="J213" s="3"/>
      <c r="K213" s="5"/>
      <c r="L213" s="4"/>
      <c r="M213" s="2"/>
      <c r="N213" s="2"/>
      <c r="O213" s="5"/>
      <c r="P213" s="5"/>
      <c r="Q213" s="5"/>
      <c r="R213" s="5"/>
      <c r="S213" s="4"/>
      <c r="T213" s="2"/>
      <c r="U213" s="2"/>
      <c r="V213" s="2"/>
      <c r="W213" s="2"/>
      <c r="X213" s="6"/>
      <c r="Y213" s="162"/>
      <c r="Z213" s="163"/>
      <c r="AA213" s="162"/>
      <c r="AB213" s="162"/>
      <c r="AC213" s="162"/>
      <c r="AD213" s="163"/>
      <c r="AE213" s="163"/>
      <c r="AF213" s="163"/>
    </row>
    <row r="214" spans="1:32" ht="16.5" customHeight="1" x14ac:dyDescent="0.2">
      <c r="A214" s="2"/>
      <c r="B214" s="5"/>
      <c r="C214" s="2"/>
      <c r="D214" s="5"/>
      <c r="E214" s="2"/>
      <c r="F214" s="5"/>
      <c r="G214" s="2"/>
      <c r="H214" s="2"/>
      <c r="I214" s="5"/>
      <c r="J214" s="3"/>
      <c r="K214" s="5"/>
      <c r="L214" s="4"/>
      <c r="M214" s="2"/>
      <c r="N214" s="2"/>
      <c r="O214" s="5"/>
      <c r="P214" s="5"/>
      <c r="Q214" s="5"/>
      <c r="R214" s="5"/>
      <c r="S214" s="4"/>
      <c r="T214" s="2"/>
      <c r="U214" s="2"/>
      <c r="V214" s="2"/>
      <c r="W214" s="2"/>
      <c r="X214" s="6"/>
      <c r="Y214" s="162"/>
      <c r="Z214" s="163"/>
      <c r="AA214" s="162"/>
      <c r="AB214" s="162"/>
      <c r="AC214" s="162"/>
      <c r="AD214" s="163"/>
      <c r="AE214" s="163"/>
      <c r="AF214" s="163"/>
    </row>
    <row r="215" spans="1:32" ht="16.5" customHeight="1" x14ac:dyDescent="0.2">
      <c r="A215" s="2"/>
      <c r="B215" s="5"/>
      <c r="C215" s="2"/>
      <c r="D215" s="5"/>
      <c r="E215" s="2"/>
      <c r="F215" s="5"/>
      <c r="G215" s="2"/>
      <c r="H215" s="2"/>
      <c r="I215" s="5"/>
      <c r="J215" s="3"/>
      <c r="K215" s="5"/>
      <c r="L215" s="4"/>
      <c r="M215" s="2"/>
      <c r="N215" s="2"/>
      <c r="O215" s="5"/>
      <c r="P215" s="5"/>
      <c r="Q215" s="5"/>
      <c r="R215" s="5"/>
      <c r="S215" s="4"/>
      <c r="T215" s="2"/>
      <c r="U215" s="2"/>
      <c r="V215" s="2"/>
      <c r="W215" s="2"/>
      <c r="X215" s="6"/>
      <c r="Y215" s="162"/>
      <c r="Z215" s="163"/>
      <c r="AA215" s="162"/>
      <c r="AB215" s="162"/>
      <c r="AC215" s="162"/>
      <c r="AD215" s="163"/>
      <c r="AE215" s="163"/>
      <c r="AF215" s="163"/>
    </row>
    <row r="216" spans="1:32" ht="16.5" customHeight="1" x14ac:dyDescent="0.2">
      <c r="A216" s="2"/>
      <c r="B216" s="5"/>
      <c r="C216" s="2"/>
      <c r="D216" s="5"/>
      <c r="E216" s="2"/>
      <c r="F216" s="5"/>
      <c r="G216" s="2"/>
      <c r="H216" s="2"/>
      <c r="I216" s="5"/>
      <c r="J216" s="3"/>
      <c r="K216" s="5"/>
      <c r="L216" s="4"/>
      <c r="M216" s="2"/>
      <c r="N216" s="2"/>
      <c r="O216" s="5"/>
      <c r="P216" s="5"/>
      <c r="Q216" s="5"/>
      <c r="R216" s="5"/>
      <c r="S216" s="4"/>
      <c r="T216" s="2"/>
      <c r="U216" s="2"/>
      <c r="V216" s="2"/>
      <c r="W216" s="2"/>
      <c r="X216" s="6"/>
      <c r="Y216" s="162"/>
      <c r="Z216" s="163"/>
      <c r="AA216" s="162"/>
      <c r="AB216" s="162"/>
      <c r="AC216" s="162"/>
      <c r="AD216" s="163"/>
      <c r="AE216" s="163"/>
      <c r="AF216" s="163"/>
    </row>
    <row r="217" spans="1:32" ht="16.5" customHeight="1" x14ac:dyDescent="0.2">
      <c r="A217" s="2"/>
      <c r="B217" s="5"/>
      <c r="C217" s="2"/>
      <c r="D217" s="5"/>
      <c r="E217" s="2"/>
      <c r="F217" s="5"/>
      <c r="G217" s="2"/>
      <c r="H217" s="2"/>
      <c r="I217" s="5"/>
      <c r="J217" s="3"/>
      <c r="K217" s="5"/>
      <c r="L217" s="4"/>
      <c r="M217" s="2"/>
      <c r="N217" s="2"/>
      <c r="O217" s="5"/>
      <c r="P217" s="5"/>
      <c r="Q217" s="5"/>
      <c r="R217" s="5"/>
      <c r="S217" s="4"/>
      <c r="T217" s="2"/>
      <c r="U217" s="2"/>
      <c r="V217" s="2"/>
      <c r="W217" s="2"/>
      <c r="X217" s="6"/>
      <c r="Y217" s="162"/>
      <c r="Z217" s="163"/>
      <c r="AA217" s="162"/>
      <c r="AB217" s="162"/>
      <c r="AC217" s="162"/>
      <c r="AD217" s="163"/>
      <c r="AE217" s="163"/>
      <c r="AF217" s="163"/>
    </row>
    <row r="218" spans="1:32" ht="16.5" customHeight="1" x14ac:dyDescent="0.2">
      <c r="A218" s="2"/>
      <c r="B218" s="5"/>
      <c r="C218" s="2"/>
      <c r="D218" s="5"/>
      <c r="E218" s="2"/>
      <c r="F218" s="5"/>
      <c r="G218" s="2"/>
      <c r="H218" s="2"/>
      <c r="I218" s="5"/>
      <c r="J218" s="3"/>
      <c r="K218" s="5"/>
      <c r="L218" s="4"/>
      <c r="M218" s="2"/>
      <c r="N218" s="2"/>
      <c r="O218" s="5"/>
      <c r="P218" s="5"/>
      <c r="Q218" s="5"/>
      <c r="R218" s="5"/>
      <c r="S218" s="4"/>
      <c r="T218" s="2"/>
      <c r="U218" s="2"/>
      <c r="V218" s="2"/>
      <c r="W218" s="2"/>
      <c r="X218" s="6"/>
      <c r="Y218" s="162"/>
      <c r="Z218" s="163"/>
      <c r="AA218" s="162"/>
      <c r="AB218" s="162"/>
      <c r="AC218" s="162"/>
      <c r="AD218" s="163"/>
      <c r="AE218" s="163"/>
      <c r="AF218" s="163"/>
    </row>
    <row r="219" spans="1:32" ht="16.5" customHeight="1" x14ac:dyDescent="0.2">
      <c r="A219" s="2"/>
      <c r="B219" s="5"/>
      <c r="C219" s="2"/>
      <c r="D219" s="5"/>
      <c r="E219" s="2"/>
      <c r="F219" s="5"/>
      <c r="G219" s="2"/>
      <c r="H219" s="2"/>
      <c r="I219" s="5"/>
      <c r="J219" s="3"/>
      <c r="K219" s="5"/>
      <c r="L219" s="4"/>
      <c r="M219" s="2"/>
      <c r="N219" s="2"/>
      <c r="O219" s="5"/>
      <c r="P219" s="5"/>
      <c r="Q219" s="5"/>
      <c r="R219" s="5"/>
      <c r="S219" s="4"/>
      <c r="T219" s="2"/>
      <c r="U219" s="2"/>
      <c r="V219" s="2"/>
      <c r="W219" s="2"/>
      <c r="X219" s="6"/>
      <c r="Y219" s="162"/>
      <c r="Z219" s="163"/>
      <c r="AA219" s="162"/>
      <c r="AB219" s="162"/>
      <c r="AC219" s="162"/>
      <c r="AD219" s="163"/>
      <c r="AE219" s="163"/>
      <c r="AF219" s="163"/>
    </row>
    <row r="220" spans="1:32" ht="16.5" customHeight="1" x14ac:dyDescent="0.2">
      <c r="A220" s="2"/>
      <c r="B220" s="5"/>
      <c r="C220" s="2"/>
      <c r="D220" s="5"/>
      <c r="E220" s="2"/>
      <c r="F220" s="5"/>
      <c r="G220" s="2"/>
      <c r="H220" s="2"/>
      <c r="I220" s="5"/>
      <c r="J220" s="3"/>
      <c r="K220" s="5"/>
      <c r="L220" s="4"/>
      <c r="M220" s="2"/>
      <c r="N220" s="2"/>
      <c r="O220" s="5"/>
      <c r="P220" s="5"/>
      <c r="Q220" s="5"/>
      <c r="R220" s="5"/>
      <c r="S220" s="4"/>
      <c r="T220" s="2"/>
      <c r="U220" s="2"/>
      <c r="V220" s="2"/>
      <c r="W220" s="2"/>
      <c r="X220" s="6"/>
      <c r="Y220" s="162"/>
      <c r="Z220" s="163"/>
      <c r="AA220" s="162"/>
      <c r="AB220" s="162"/>
      <c r="AC220" s="162"/>
      <c r="AD220" s="163"/>
      <c r="AE220" s="163"/>
      <c r="AF220" s="163"/>
    </row>
    <row r="221" spans="1:32" ht="16.5" customHeight="1" x14ac:dyDescent="0.2">
      <c r="A221" s="2"/>
      <c r="B221" s="5"/>
      <c r="C221" s="2"/>
      <c r="D221" s="5"/>
      <c r="E221" s="2"/>
      <c r="F221" s="5"/>
      <c r="G221" s="2"/>
      <c r="H221" s="2"/>
      <c r="I221" s="5"/>
      <c r="J221" s="3"/>
      <c r="K221" s="5"/>
      <c r="L221" s="4"/>
      <c r="M221" s="2"/>
      <c r="N221" s="2"/>
      <c r="O221" s="5"/>
      <c r="P221" s="5"/>
      <c r="Q221" s="5"/>
      <c r="R221" s="5"/>
      <c r="S221" s="4"/>
      <c r="T221" s="2"/>
      <c r="U221" s="2"/>
      <c r="V221" s="2"/>
      <c r="W221" s="2"/>
      <c r="X221" s="6"/>
      <c r="Y221" s="162"/>
      <c r="Z221" s="163"/>
      <c r="AA221" s="162"/>
      <c r="AB221" s="162"/>
      <c r="AC221" s="162"/>
      <c r="AD221" s="163"/>
      <c r="AE221" s="163"/>
      <c r="AF221" s="163"/>
    </row>
    <row r="222" spans="1:32" ht="16.5" customHeight="1" x14ac:dyDescent="0.2">
      <c r="A222" s="2"/>
      <c r="B222" s="5"/>
      <c r="C222" s="2"/>
      <c r="D222" s="5"/>
      <c r="E222" s="2"/>
      <c r="F222" s="5"/>
      <c r="G222" s="2"/>
      <c r="H222" s="2"/>
      <c r="I222" s="5"/>
      <c r="J222" s="3"/>
      <c r="K222" s="5"/>
      <c r="L222" s="4"/>
      <c r="M222" s="2"/>
      <c r="N222" s="2"/>
      <c r="O222" s="5"/>
      <c r="P222" s="5"/>
      <c r="Q222" s="5"/>
      <c r="R222" s="5"/>
      <c r="S222" s="4"/>
      <c r="T222" s="2"/>
      <c r="U222" s="2"/>
      <c r="V222" s="2"/>
      <c r="W222" s="2"/>
      <c r="X222" s="6"/>
      <c r="Y222" s="162"/>
      <c r="Z222" s="163"/>
      <c r="AA222" s="162"/>
      <c r="AB222" s="162"/>
      <c r="AC222" s="162"/>
      <c r="AD222" s="163"/>
      <c r="AE222" s="163"/>
      <c r="AF222" s="163"/>
    </row>
    <row r="223" spans="1:32" ht="16.5" customHeight="1" x14ac:dyDescent="0.2">
      <c r="A223" s="2"/>
      <c r="B223" s="5"/>
      <c r="C223" s="2"/>
      <c r="D223" s="5"/>
      <c r="E223" s="2"/>
      <c r="F223" s="5"/>
      <c r="G223" s="2"/>
      <c r="H223" s="2"/>
      <c r="I223" s="5"/>
      <c r="J223" s="3"/>
      <c r="K223" s="5"/>
      <c r="L223" s="4"/>
      <c r="M223" s="2"/>
      <c r="N223" s="2"/>
      <c r="O223" s="5"/>
      <c r="P223" s="5"/>
      <c r="Q223" s="5"/>
      <c r="R223" s="5"/>
      <c r="S223" s="4"/>
      <c r="T223" s="2"/>
      <c r="U223" s="2"/>
      <c r="V223" s="2"/>
      <c r="W223" s="2"/>
      <c r="X223" s="6"/>
      <c r="Y223" s="162"/>
      <c r="Z223" s="163"/>
      <c r="AA223" s="162"/>
      <c r="AB223" s="162"/>
      <c r="AC223" s="162"/>
      <c r="AD223" s="163"/>
      <c r="AE223" s="163"/>
      <c r="AF223" s="163"/>
    </row>
    <row r="224" spans="1:32" ht="16.5" customHeight="1" x14ac:dyDescent="0.2">
      <c r="A224" s="2"/>
      <c r="B224" s="5"/>
      <c r="C224" s="2"/>
      <c r="D224" s="5"/>
      <c r="E224" s="2"/>
      <c r="F224" s="5"/>
      <c r="G224" s="2"/>
      <c r="H224" s="2"/>
      <c r="I224" s="5"/>
      <c r="J224" s="3"/>
      <c r="K224" s="5"/>
      <c r="L224" s="4"/>
      <c r="M224" s="2"/>
      <c r="N224" s="2"/>
      <c r="O224" s="5"/>
      <c r="P224" s="5"/>
      <c r="Q224" s="5"/>
      <c r="R224" s="5"/>
      <c r="S224" s="4"/>
      <c r="T224" s="2"/>
      <c r="U224" s="2"/>
      <c r="V224" s="2"/>
      <c r="W224" s="2"/>
      <c r="X224" s="6"/>
      <c r="Y224" s="162"/>
      <c r="Z224" s="163"/>
      <c r="AA224" s="162"/>
      <c r="AB224" s="162"/>
      <c r="AC224" s="162"/>
      <c r="AD224" s="163"/>
      <c r="AE224" s="163"/>
      <c r="AF224" s="163"/>
    </row>
    <row r="225" spans="1:32" ht="16.5" customHeight="1" x14ac:dyDescent="0.2">
      <c r="A225" s="2"/>
      <c r="B225" s="5"/>
      <c r="C225" s="2"/>
      <c r="D225" s="5"/>
      <c r="E225" s="2"/>
      <c r="F225" s="5"/>
      <c r="G225" s="2"/>
      <c r="H225" s="2"/>
      <c r="I225" s="5"/>
      <c r="J225" s="3"/>
      <c r="K225" s="5"/>
      <c r="L225" s="4"/>
      <c r="M225" s="2"/>
      <c r="N225" s="2"/>
      <c r="O225" s="5"/>
      <c r="P225" s="5"/>
      <c r="Q225" s="5"/>
      <c r="R225" s="5"/>
      <c r="S225" s="4"/>
      <c r="T225" s="2"/>
      <c r="U225" s="2"/>
      <c r="V225" s="2"/>
      <c r="W225" s="2"/>
      <c r="X225" s="6"/>
      <c r="Y225" s="162"/>
      <c r="Z225" s="163"/>
      <c r="AA225" s="162"/>
      <c r="AB225" s="162"/>
      <c r="AC225" s="162"/>
      <c r="AD225" s="163"/>
      <c r="AE225" s="163"/>
      <c r="AF225" s="163"/>
    </row>
    <row r="226" spans="1:32" ht="16.5" customHeight="1" x14ac:dyDescent="0.2">
      <c r="A226" s="2"/>
      <c r="B226" s="5"/>
      <c r="C226" s="2"/>
      <c r="D226" s="5"/>
      <c r="E226" s="2"/>
      <c r="F226" s="5"/>
      <c r="G226" s="2"/>
      <c r="H226" s="2"/>
      <c r="I226" s="5"/>
      <c r="J226" s="3"/>
      <c r="K226" s="5"/>
      <c r="L226" s="4"/>
      <c r="M226" s="2"/>
      <c r="N226" s="2"/>
      <c r="O226" s="5"/>
      <c r="P226" s="5"/>
      <c r="Q226" s="5"/>
      <c r="R226" s="5"/>
      <c r="S226" s="4"/>
      <c r="T226" s="2"/>
      <c r="U226" s="2"/>
      <c r="V226" s="2"/>
      <c r="W226" s="2"/>
      <c r="X226" s="6"/>
      <c r="Y226" s="162"/>
      <c r="Z226" s="163"/>
      <c r="AA226" s="162"/>
      <c r="AB226" s="162"/>
      <c r="AC226" s="162"/>
      <c r="AD226" s="163"/>
      <c r="AE226" s="163"/>
      <c r="AF226" s="163"/>
    </row>
    <row r="227" spans="1:32" ht="16.5" customHeight="1" x14ac:dyDescent="0.2">
      <c r="A227" s="2"/>
      <c r="B227" s="5"/>
      <c r="C227" s="2"/>
      <c r="D227" s="5"/>
      <c r="E227" s="2"/>
      <c r="F227" s="5"/>
      <c r="G227" s="2"/>
      <c r="H227" s="2"/>
      <c r="I227" s="5"/>
      <c r="J227" s="3"/>
      <c r="K227" s="5"/>
      <c r="L227" s="4"/>
      <c r="M227" s="2"/>
      <c r="N227" s="2"/>
      <c r="O227" s="5"/>
      <c r="P227" s="5"/>
      <c r="Q227" s="5"/>
      <c r="R227" s="5"/>
      <c r="S227" s="4"/>
      <c r="T227" s="2"/>
      <c r="U227" s="2"/>
      <c r="V227" s="2"/>
      <c r="W227" s="2"/>
      <c r="X227" s="6"/>
      <c r="Y227" s="162"/>
      <c r="Z227" s="163"/>
      <c r="AA227" s="162"/>
      <c r="AB227" s="162"/>
      <c r="AC227" s="162"/>
      <c r="AD227" s="163"/>
      <c r="AE227" s="163"/>
      <c r="AF227" s="163"/>
    </row>
    <row r="228" spans="1:32" ht="16.5" customHeight="1" x14ac:dyDescent="0.2">
      <c r="A228" s="2"/>
      <c r="B228" s="5"/>
      <c r="C228" s="2"/>
      <c r="D228" s="5"/>
      <c r="E228" s="2"/>
      <c r="F228" s="5"/>
      <c r="G228" s="2"/>
      <c r="H228" s="2"/>
      <c r="I228" s="5"/>
      <c r="J228" s="3"/>
      <c r="K228" s="5"/>
      <c r="L228" s="4"/>
      <c r="M228" s="2"/>
      <c r="N228" s="2"/>
      <c r="O228" s="5"/>
      <c r="P228" s="5"/>
      <c r="Q228" s="5"/>
      <c r="R228" s="5"/>
      <c r="S228" s="4"/>
      <c r="T228" s="2"/>
      <c r="U228" s="2"/>
      <c r="V228" s="2"/>
      <c r="W228" s="2"/>
      <c r="X228" s="6"/>
      <c r="Y228" s="162"/>
      <c r="Z228" s="163"/>
      <c r="AA228" s="162"/>
      <c r="AB228" s="162"/>
      <c r="AC228" s="162"/>
      <c r="AD228" s="163"/>
      <c r="AE228" s="163"/>
      <c r="AF228" s="163"/>
    </row>
    <row r="229" spans="1:32" ht="16.5" customHeight="1" x14ac:dyDescent="0.2">
      <c r="A229" s="2"/>
      <c r="B229" s="5"/>
      <c r="C229" s="2"/>
      <c r="D229" s="5"/>
      <c r="E229" s="2"/>
      <c r="F229" s="5"/>
      <c r="G229" s="2"/>
      <c r="H229" s="2"/>
      <c r="I229" s="5"/>
      <c r="J229" s="3"/>
      <c r="K229" s="5"/>
      <c r="L229" s="4"/>
      <c r="M229" s="2"/>
      <c r="N229" s="2"/>
      <c r="O229" s="5"/>
      <c r="P229" s="5"/>
      <c r="Q229" s="5"/>
      <c r="R229" s="5"/>
      <c r="S229" s="4"/>
      <c r="T229" s="2"/>
      <c r="U229" s="2"/>
      <c r="V229" s="2"/>
      <c r="W229" s="2"/>
      <c r="X229" s="6"/>
      <c r="Y229" s="162"/>
      <c r="Z229" s="163"/>
      <c r="AA229" s="162"/>
      <c r="AB229" s="162"/>
      <c r="AC229" s="162"/>
      <c r="AD229" s="163"/>
      <c r="AE229" s="163"/>
      <c r="AF229" s="163"/>
    </row>
    <row r="230" spans="1:32" ht="16.5" customHeight="1" x14ac:dyDescent="0.2">
      <c r="A230" s="2"/>
      <c r="B230" s="5"/>
      <c r="C230" s="2"/>
      <c r="D230" s="5"/>
      <c r="E230" s="2"/>
      <c r="F230" s="5"/>
      <c r="G230" s="2"/>
      <c r="H230" s="2"/>
      <c r="I230" s="5"/>
      <c r="J230" s="3"/>
      <c r="K230" s="5"/>
      <c r="L230" s="4"/>
      <c r="M230" s="2"/>
      <c r="N230" s="2"/>
      <c r="O230" s="5"/>
      <c r="P230" s="5"/>
      <c r="Q230" s="5"/>
      <c r="R230" s="5"/>
      <c r="S230" s="4"/>
      <c r="T230" s="2"/>
      <c r="U230" s="2"/>
      <c r="V230" s="2"/>
      <c r="W230" s="2"/>
      <c r="X230" s="6"/>
      <c r="Y230" s="162"/>
      <c r="Z230" s="163"/>
      <c r="AA230" s="162"/>
      <c r="AB230" s="162"/>
      <c r="AC230" s="162"/>
      <c r="AD230" s="163"/>
      <c r="AE230" s="163"/>
      <c r="AF230" s="163"/>
    </row>
    <row r="231" spans="1:32" ht="16.5" customHeight="1" x14ac:dyDescent="0.2">
      <c r="A231" s="2"/>
      <c r="B231" s="5"/>
      <c r="C231" s="2"/>
      <c r="D231" s="5"/>
      <c r="E231" s="2"/>
      <c r="F231" s="5"/>
      <c r="G231" s="2"/>
      <c r="H231" s="2"/>
      <c r="I231" s="5"/>
      <c r="J231" s="3"/>
      <c r="K231" s="5"/>
      <c r="L231" s="4"/>
      <c r="M231" s="2"/>
      <c r="N231" s="2"/>
      <c r="O231" s="5"/>
      <c r="P231" s="5"/>
      <c r="Q231" s="5"/>
      <c r="R231" s="5"/>
      <c r="S231" s="4"/>
      <c r="T231" s="2"/>
      <c r="U231" s="2"/>
      <c r="V231" s="2"/>
      <c r="W231" s="2"/>
      <c r="X231" s="6"/>
      <c r="Y231" s="162"/>
      <c r="Z231" s="163"/>
      <c r="AA231" s="162"/>
      <c r="AB231" s="162"/>
      <c r="AC231" s="162"/>
      <c r="AD231" s="163"/>
      <c r="AE231" s="163"/>
      <c r="AF231" s="163"/>
    </row>
    <row r="232" spans="1:32" ht="15.75" customHeight="1" x14ac:dyDescent="0.2">
      <c r="A232" s="2"/>
      <c r="B232" s="2"/>
      <c r="C232" s="2"/>
      <c r="D232" s="2"/>
      <c r="E232" s="2"/>
      <c r="F232" s="2"/>
      <c r="G232" s="2"/>
      <c r="H232" s="2"/>
      <c r="I232" s="2"/>
      <c r="J232" s="3"/>
      <c r="K232" s="2"/>
      <c r="L232" s="4"/>
      <c r="M232" s="2"/>
      <c r="N232" s="2"/>
      <c r="O232" s="5"/>
      <c r="P232" s="5"/>
      <c r="Q232" s="5"/>
      <c r="R232" s="5"/>
      <c r="S232" s="4"/>
      <c r="T232" s="2"/>
      <c r="U232" s="2"/>
      <c r="V232" s="2"/>
      <c r="W232" s="2"/>
      <c r="X232" s="6"/>
      <c r="Y232" s="163"/>
      <c r="Z232" s="163"/>
      <c r="AA232" s="163"/>
      <c r="AB232" s="163"/>
      <c r="AC232" s="163"/>
      <c r="AD232" s="163"/>
      <c r="AE232" s="163"/>
      <c r="AF232" s="163"/>
    </row>
    <row r="233" spans="1:32" ht="15.75" customHeight="1" x14ac:dyDescent="0.2">
      <c r="A233" s="2"/>
      <c r="B233" s="2"/>
      <c r="C233" s="2"/>
      <c r="D233" s="2"/>
      <c r="E233" s="2"/>
      <c r="F233" s="2"/>
      <c r="G233" s="2"/>
      <c r="H233" s="2"/>
      <c r="I233" s="2"/>
      <c r="J233" s="3"/>
      <c r="K233" s="2"/>
      <c r="L233" s="4"/>
      <c r="M233" s="2"/>
      <c r="N233" s="2"/>
      <c r="O233" s="5"/>
      <c r="P233" s="5"/>
      <c r="Q233" s="5"/>
      <c r="R233" s="5"/>
      <c r="S233" s="4"/>
      <c r="T233" s="2"/>
      <c r="U233" s="2"/>
      <c r="V233" s="2"/>
      <c r="W233" s="2"/>
      <c r="X233" s="6"/>
      <c r="Y233" s="163"/>
      <c r="Z233" s="163"/>
      <c r="AA233" s="163"/>
      <c r="AB233" s="163"/>
      <c r="AC233" s="163"/>
      <c r="AD233" s="163"/>
      <c r="AE233" s="163"/>
      <c r="AF233" s="163"/>
    </row>
    <row r="234" spans="1:32" ht="15.75" customHeight="1" x14ac:dyDescent="0.2">
      <c r="A234" s="2"/>
      <c r="B234" s="2"/>
      <c r="C234" s="2"/>
      <c r="D234" s="2"/>
      <c r="E234" s="2"/>
      <c r="F234" s="2"/>
      <c r="G234" s="2"/>
      <c r="H234" s="2"/>
      <c r="I234" s="2"/>
      <c r="J234" s="3"/>
      <c r="K234" s="2"/>
      <c r="L234" s="4"/>
      <c r="M234" s="2"/>
      <c r="N234" s="2"/>
      <c r="O234" s="5"/>
      <c r="P234" s="5"/>
      <c r="Q234" s="5"/>
      <c r="R234" s="5"/>
      <c r="S234" s="4"/>
      <c r="T234" s="2"/>
      <c r="U234" s="2"/>
      <c r="V234" s="2"/>
      <c r="W234" s="2"/>
      <c r="X234" s="6"/>
      <c r="Y234" s="163"/>
      <c r="Z234" s="163"/>
      <c r="AA234" s="163"/>
      <c r="AB234" s="163"/>
      <c r="AC234" s="163"/>
      <c r="AD234" s="163"/>
      <c r="AE234" s="163"/>
      <c r="AF234" s="163"/>
    </row>
    <row r="235" spans="1:32" ht="15.75" customHeight="1" x14ac:dyDescent="0.2">
      <c r="A235" s="2"/>
      <c r="B235" s="2"/>
      <c r="C235" s="2"/>
      <c r="D235" s="2"/>
      <c r="E235" s="2"/>
      <c r="F235" s="2"/>
      <c r="G235" s="2"/>
      <c r="H235" s="2"/>
      <c r="I235" s="2"/>
      <c r="J235" s="3"/>
      <c r="K235" s="2"/>
      <c r="L235" s="4"/>
      <c r="M235" s="2"/>
      <c r="N235" s="2"/>
      <c r="O235" s="5"/>
      <c r="P235" s="5"/>
      <c r="Q235" s="5"/>
      <c r="R235" s="5"/>
      <c r="S235" s="4"/>
      <c r="T235" s="2"/>
      <c r="U235" s="2"/>
      <c r="V235" s="2"/>
      <c r="W235" s="2"/>
      <c r="X235" s="6"/>
      <c r="Y235" s="163"/>
      <c r="Z235" s="163"/>
      <c r="AA235" s="163"/>
      <c r="AB235" s="163"/>
      <c r="AC235" s="163"/>
      <c r="AD235" s="163"/>
      <c r="AE235" s="163"/>
      <c r="AF235" s="163"/>
    </row>
    <row r="236" spans="1:32" ht="15.75" customHeight="1" x14ac:dyDescent="0.2">
      <c r="A236" s="2"/>
      <c r="B236" s="2"/>
      <c r="C236" s="2"/>
      <c r="D236" s="2"/>
      <c r="E236" s="2"/>
      <c r="F236" s="2"/>
      <c r="G236" s="2"/>
      <c r="H236" s="2"/>
      <c r="I236" s="2"/>
      <c r="J236" s="3"/>
      <c r="K236" s="2"/>
      <c r="L236" s="4"/>
      <c r="M236" s="2"/>
      <c r="N236" s="2"/>
      <c r="O236" s="5"/>
      <c r="P236" s="5"/>
      <c r="Q236" s="5"/>
      <c r="R236" s="5"/>
      <c r="S236" s="4"/>
      <c r="T236" s="2"/>
      <c r="U236" s="2"/>
      <c r="V236" s="2"/>
      <c r="W236" s="2"/>
      <c r="X236" s="6"/>
      <c r="Y236" s="163"/>
      <c r="Z236" s="163"/>
      <c r="AA236" s="163"/>
      <c r="AB236" s="163"/>
      <c r="AC236" s="163"/>
      <c r="AD236" s="163"/>
      <c r="AE236" s="163"/>
      <c r="AF236" s="163"/>
    </row>
    <row r="237" spans="1:32" ht="15.75" customHeight="1" x14ac:dyDescent="0.2">
      <c r="A237" s="2"/>
      <c r="B237" s="2"/>
      <c r="C237" s="2"/>
      <c r="D237" s="2"/>
      <c r="E237" s="2"/>
      <c r="F237" s="2"/>
      <c r="G237" s="2"/>
      <c r="H237" s="2"/>
      <c r="I237" s="2"/>
      <c r="J237" s="3"/>
      <c r="K237" s="2"/>
      <c r="L237" s="4"/>
      <c r="M237" s="2"/>
      <c r="N237" s="2"/>
      <c r="O237" s="5"/>
      <c r="P237" s="5"/>
      <c r="Q237" s="5"/>
      <c r="R237" s="5"/>
      <c r="S237" s="4"/>
      <c r="T237" s="2"/>
      <c r="U237" s="2"/>
      <c r="V237" s="2"/>
      <c r="W237" s="2"/>
      <c r="X237" s="6"/>
      <c r="Y237" s="163"/>
      <c r="Z237" s="163"/>
      <c r="AA237" s="163"/>
      <c r="AB237" s="163"/>
      <c r="AC237" s="163"/>
      <c r="AD237" s="163"/>
      <c r="AE237" s="163"/>
      <c r="AF237" s="163"/>
    </row>
    <row r="238" spans="1:32" ht="15.75" customHeight="1" x14ac:dyDescent="0.2">
      <c r="A238" s="2"/>
      <c r="B238" s="2"/>
      <c r="C238" s="2"/>
      <c r="D238" s="2"/>
      <c r="E238" s="2"/>
      <c r="F238" s="2"/>
      <c r="G238" s="2"/>
      <c r="H238" s="2"/>
      <c r="I238" s="2"/>
      <c r="J238" s="3"/>
      <c r="K238" s="2"/>
      <c r="L238" s="4"/>
      <c r="M238" s="2"/>
      <c r="N238" s="2"/>
      <c r="O238" s="5"/>
      <c r="P238" s="5"/>
      <c r="Q238" s="5"/>
      <c r="R238" s="5"/>
      <c r="S238" s="4"/>
      <c r="T238" s="2"/>
      <c r="U238" s="2"/>
      <c r="V238" s="2"/>
      <c r="W238" s="2"/>
      <c r="X238" s="6"/>
      <c r="Y238" s="163"/>
      <c r="Z238" s="163"/>
      <c r="AA238" s="163"/>
      <c r="AB238" s="163"/>
      <c r="AC238" s="163"/>
      <c r="AD238" s="163"/>
      <c r="AE238" s="163"/>
      <c r="AF238" s="163"/>
    </row>
    <row r="239" spans="1:32" ht="15.75" customHeight="1" x14ac:dyDescent="0.2">
      <c r="A239" s="2"/>
      <c r="B239" s="2"/>
      <c r="C239" s="2"/>
      <c r="D239" s="2"/>
      <c r="E239" s="2"/>
      <c r="F239" s="2"/>
      <c r="G239" s="2"/>
      <c r="H239" s="2"/>
      <c r="I239" s="2"/>
      <c r="J239" s="3"/>
      <c r="K239" s="2"/>
      <c r="L239" s="4"/>
      <c r="M239" s="2"/>
      <c r="N239" s="2"/>
      <c r="O239" s="5"/>
      <c r="P239" s="5"/>
      <c r="Q239" s="5"/>
      <c r="R239" s="5"/>
      <c r="S239" s="4"/>
      <c r="T239" s="2"/>
      <c r="U239" s="2"/>
      <c r="V239" s="2"/>
      <c r="W239" s="2"/>
      <c r="X239" s="6"/>
      <c r="Y239" s="163"/>
      <c r="Z239" s="163"/>
      <c r="AA239" s="163"/>
      <c r="AB239" s="163"/>
      <c r="AC239" s="163"/>
      <c r="AD239" s="163"/>
      <c r="AE239" s="163"/>
      <c r="AF239" s="163"/>
    </row>
    <row r="240" spans="1:32" ht="15.75" customHeight="1" x14ac:dyDescent="0.2">
      <c r="A240" s="2"/>
      <c r="B240" s="2"/>
      <c r="C240" s="2"/>
      <c r="D240" s="2"/>
      <c r="E240" s="2"/>
      <c r="F240" s="2"/>
      <c r="G240" s="2"/>
      <c r="H240" s="2"/>
      <c r="I240" s="2"/>
      <c r="J240" s="3"/>
      <c r="K240" s="2"/>
      <c r="L240" s="4"/>
      <c r="M240" s="2"/>
      <c r="N240" s="2"/>
      <c r="O240" s="5"/>
      <c r="P240" s="5"/>
      <c r="Q240" s="5"/>
      <c r="R240" s="5"/>
      <c r="S240" s="4"/>
      <c r="T240" s="2"/>
      <c r="U240" s="2"/>
      <c r="V240" s="2"/>
      <c r="W240" s="2"/>
      <c r="X240" s="6"/>
      <c r="Y240" s="163"/>
      <c r="Z240" s="163"/>
      <c r="AA240" s="163"/>
      <c r="AB240" s="163"/>
      <c r="AC240" s="163"/>
      <c r="AD240" s="163"/>
      <c r="AE240" s="163"/>
      <c r="AF240" s="163"/>
    </row>
    <row r="241" spans="1:32" ht="15.75" customHeight="1" x14ac:dyDescent="0.2">
      <c r="A241" s="2"/>
      <c r="B241" s="2"/>
      <c r="C241" s="2"/>
      <c r="D241" s="2"/>
      <c r="E241" s="2"/>
      <c r="F241" s="2"/>
      <c r="G241" s="2"/>
      <c r="H241" s="2"/>
      <c r="I241" s="2"/>
      <c r="J241" s="3"/>
      <c r="K241" s="2"/>
      <c r="L241" s="4"/>
      <c r="M241" s="2"/>
      <c r="N241" s="2"/>
      <c r="O241" s="5"/>
      <c r="P241" s="5"/>
      <c r="Q241" s="5"/>
      <c r="R241" s="5"/>
      <c r="S241" s="4"/>
      <c r="T241" s="2"/>
      <c r="U241" s="2"/>
      <c r="V241" s="2"/>
      <c r="W241" s="2"/>
      <c r="X241" s="6"/>
      <c r="Y241" s="163"/>
      <c r="Z241" s="163"/>
      <c r="AA241" s="163"/>
      <c r="AB241" s="163"/>
      <c r="AC241" s="163"/>
      <c r="AD241" s="163"/>
      <c r="AE241" s="163"/>
      <c r="AF241" s="163"/>
    </row>
    <row r="242" spans="1:32" ht="15.75" customHeight="1" x14ac:dyDescent="0.2">
      <c r="A242" s="2"/>
      <c r="B242" s="2"/>
      <c r="C242" s="2"/>
      <c r="D242" s="2"/>
      <c r="E242" s="2"/>
      <c r="F242" s="2"/>
      <c r="G242" s="2"/>
      <c r="H242" s="2"/>
      <c r="I242" s="2"/>
      <c r="J242" s="3"/>
      <c r="K242" s="2"/>
      <c r="L242" s="4"/>
      <c r="M242" s="2"/>
      <c r="N242" s="2"/>
      <c r="O242" s="5"/>
      <c r="P242" s="5"/>
      <c r="Q242" s="5"/>
      <c r="R242" s="5"/>
      <c r="S242" s="4"/>
      <c r="T242" s="2"/>
      <c r="U242" s="2"/>
      <c r="V242" s="2"/>
      <c r="W242" s="2"/>
      <c r="X242" s="6"/>
      <c r="Y242" s="163"/>
      <c r="Z242" s="163"/>
      <c r="AA242" s="163"/>
      <c r="AB242" s="163"/>
      <c r="AC242" s="163"/>
      <c r="AD242" s="163"/>
      <c r="AE242" s="163"/>
      <c r="AF242" s="163"/>
    </row>
    <row r="243" spans="1:32" ht="15.75" customHeight="1" x14ac:dyDescent="0.2">
      <c r="A243" s="2"/>
      <c r="B243" s="2"/>
      <c r="C243" s="2"/>
      <c r="D243" s="2"/>
      <c r="E243" s="2"/>
      <c r="F243" s="2"/>
      <c r="G243" s="2"/>
      <c r="H243" s="2"/>
      <c r="I243" s="2"/>
      <c r="J243" s="3"/>
      <c r="K243" s="2"/>
      <c r="L243" s="4"/>
      <c r="M243" s="2"/>
      <c r="N243" s="2"/>
      <c r="O243" s="5"/>
      <c r="P243" s="5"/>
      <c r="Q243" s="5"/>
      <c r="R243" s="5"/>
      <c r="S243" s="4"/>
      <c r="T243" s="2"/>
      <c r="U243" s="2"/>
      <c r="V243" s="2"/>
      <c r="W243" s="2"/>
      <c r="X243" s="6"/>
      <c r="Y243" s="163"/>
      <c r="Z243" s="163"/>
      <c r="AA243" s="163"/>
      <c r="AB243" s="163"/>
      <c r="AC243" s="163"/>
      <c r="AD243" s="163"/>
      <c r="AE243" s="163"/>
      <c r="AF243" s="163"/>
    </row>
    <row r="244" spans="1:32" ht="15.75" customHeight="1" x14ac:dyDescent="0.2">
      <c r="A244" s="2"/>
      <c r="B244" s="2"/>
      <c r="C244" s="2"/>
      <c r="D244" s="2"/>
      <c r="E244" s="2"/>
      <c r="F244" s="2"/>
      <c r="G244" s="2"/>
      <c r="H244" s="2"/>
      <c r="I244" s="2"/>
      <c r="J244" s="3"/>
      <c r="K244" s="2"/>
      <c r="L244" s="4"/>
      <c r="M244" s="2"/>
      <c r="N244" s="2"/>
      <c r="O244" s="5"/>
      <c r="P244" s="5"/>
      <c r="Q244" s="5"/>
      <c r="R244" s="5"/>
      <c r="S244" s="4"/>
      <c r="T244" s="2"/>
      <c r="U244" s="2"/>
      <c r="V244" s="2"/>
      <c r="W244" s="2"/>
      <c r="X244" s="6"/>
      <c r="Y244" s="163"/>
      <c r="Z244" s="163"/>
      <c r="AA244" s="163"/>
      <c r="AB244" s="163"/>
      <c r="AC244" s="163"/>
      <c r="AD244" s="163"/>
      <c r="AE244" s="163"/>
      <c r="AF244" s="163"/>
    </row>
    <row r="245" spans="1:32" ht="15.75" customHeight="1" x14ac:dyDescent="0.2">
      <c r="A245" s="2"/>
      <c r="B245" s="2"/>
      <c r="C245" s="2"/>
      <c r="D245" s="2"/>
      <c r="E245" s="2"/>
      <c r="F245" s="2"/>
      <c r="G245" s="2"/>
      <c r="H245" s="2"/>
      <c r="I245" s="2"/>
      <c r="J245" s="3"/>
      <c r="K245" s="2"/>
      <c r="L245" s="4"/>
      <c r="M245" s="2"/>
      <c r="N245" s="2"/>
      <c r="O245" s="5"/>
      <c r="P245" s="5"/>
      <c r="Q245" s="5"/>
      <c r="R245" s="5"/>
      <c r="S245" s="4"/>
      <c r="T245" s="2"/>
      <c r="U245" s="2"/>
      <c r="V245" s="2"/>
      <c r="W245" s="2"/>
      <c r="X245" s="6"/>
      <c r="Y245" s="163"/>
      <c r="Z245" s="163"/>
      <c r="AA245" s="163"/>
      <c r="AB245" s="163"/>
      <c r="AC245" s="163"/>
      <c r="AD245" s="163"/>
      <c r="AE245" s="163"/>
      <c r="AF245" s="163"/>
    </row>
    <row r="246" spans="1:32" ht="15.75" customHeight="1" x14ac:dyDescent="0.2">
      <c r="A246" s="2"/>
      <c r="B246" s="2"/>
      <c r="C246" s="2"/>
      <c r="D246" s="2"/>
      <c r="E246" s="2"/>
      <c r="F246" s="2"/>
      <c r="G246" s="2"/>
      <c r="H246" s="2"/>
      <c r="I246" s="2"/>
      <c r="J246" s="3"/>
      <c r="K246" s="2"/>
      <c r="L246" s="4"/>
      <c r="M246" s="2"/>
      <c r="N246" s="2"/>
      <c r="O246" s="5"/>
      <c r="P246" s="5"/>
      <c r="Q246" s="5"/>
      <c r="R246" s="5"/>
      <c r="S246" s="4"/>
      <c r="T246" s="2"/>
      <c r="U246" s="2"/>
      <c r="V246" s="2"/>
      <c r="W246" s="2"/>
      <c r="X246" s="6"/>
      <c r="Y246" s="163"/>
      <c r="Z246" s="163"/>
      <c r="AA246" s="163"/>
      <c r="AB246" s="163"/>
      <c r="AC246" s="163"/>
      <c r="AD246" s="163"/>
      <c r="AE246" s="163"/>
      <c r="AF246" s="163"/>
    </row>
    <row r="247" spans="1:32" ht="15.75" customHeight="1" x14ac:dyDescent="0.2">
      <c r="A247" s="2"/>
      <c r="B247" s="2"/>
      <c r="C247" s="2"/>
      <c r="D247" s="2"/>
      <c r="E247" s="2"/>
      <c r="F247" s="2"/>
      <c r="G247" s="2"/>
      <c r="H247" s="2"/>
      <c r="I247" s="2"/>
      <c r="J247" s="3"/>
      <c r="K247" s="2"/>
      <c r="L247" s="4"/>
      <c r="M247" s="2"/>
      <c r="N247" s="2"/>
      <c r="O247" s="5"/>
      <c r="P247" s="5"/>
      <c r="Q247" s="5"/>
      <c r="R247" s="5"/>
      <c r="S247" s="4"/>
      <c r="T247" s="2"/>
      <c r="U247" s="2"/>
      <c r="V247" s="2"/>
      <c r="W247" s="2"/>
      <c r="X247" s="6"/>
      <c r="Y247" s="163"/>
      <c r="Z247" s="163"/>
      <c r="AA247" s="163"/>
      <c r="AB247" s="163"/>
      <c r="AC247" s="163"/>
      <c r="AD247" s="163"/>
      <c r="AE247" s="163"/>
      <c r="AF247" s="163"/>
    </row>
    <row r="248" spans="1:32" ht="15.75" customHeight="1" x14ac:dyDescent="0.2">
      <c r="A248" s="2"/>
      <c r="B248" s="2"/>
      <c r="C248" s="2"/>
      <c r="D248" s="2"/>
      <c r="E248" s="2"/>
      <c r="F248" s="2"/>
      <c r="G248" s="2"/>
      <c r="H248" s="2"/>
      <c r="I248" s="2"/>
      <c r="J248" s="3"/>
      <c r="K248" s="2"/>
      <c r="L248" s="4"/>
      <c r="M248" s="2"/>
      <c r="N248" s="2"/>
      <c r="O248" s="5"/>
      <c r="P248" s="5"/>
      <c r="Q248" s="5"/>
      <c r="R248" s="5"/>
      <c r="S248" s="4"/>
      <c r="T248" s="2"/>
      <c r="U248" s="2"/>
      <c r="V248" s="2"/>
      <c r="W248" s="2"/>
      <c r="X248" s="6"/>
      <c r="Y248" s="163"/>
      <c r="Z248" s="163"/>
      <c r="AA248" s="163"/>
      <c r="AB248" s="163"/>
      <c r="AC248" s="163"/>
      <c r="AD248" s="163"/>
      <c r="AE248" s="163"/>
      <c r="AF248" s="163"/>
    </row>
    <row r="249" spans="1:32" ht="15.75" customHeight="1" x14ac:dyDescent="0.2">
      <c r="A249" s="2"/>
      <c r="B249" s="2"/>
      <c r="C249" s="2"/>
      <c r="D249" s="2"/>
      <c r="E249" s="2"/>
      <c r="F249" s="2"/>
      <c r="G249" s="2"/>
      <c r="H249" s="2"/>
      <c r="I249" s="2"/>
      <c r="J249" s="3"/>
      <c r="K249" s="2"/>
      <c r="L249" s="4"/>
      <c r="M249" s="2"/>
      <c r="N249" s="2"/>
      <c r="O249" s="5"/>
      <c r="P249" s="5"/>
      <c r="Q249" s="5"/>
      <c r="R249" s="5"/>
      <c r="S249" s="4"/>
      <c r="T249" s="2"/>
      <c r="U249" s="2"/>
      <c r="V249" s="2"/>
      <c r="W249" s="2"/>
      <c r="X249" s="6"/>
      <c r="Y249" s="163"/>
      <c r="Z249" s="163"/>
      <c r="AA249" s="163"/>
      <c r="AB249" s="163"/>
      <c r="AC249" s="163"/>
      <c r="AD249" s="163"/>
      <c r="AE249" s="163"/>
      <c r="AF249" s="163"/>
    </row>
    <row r="250" spans="1:32" ht="15.75" customHeight="1" x14ac:dyDescent="0.2">
      <c r="A250" s="2"/>
      <c r="B250" s="2"/>
      <c r="C250" s="2"/>
      <c r="D250" s="2"/>
      <c r="E250" s="2"/>
      <c r="F250" s="2"/>
      <c r="G250" s="2"/>
      <c r="H250" s="2"/>
      <c r="I250" s="2"/>
      <c r="J250" s="3"/>
      <c r="K250" s="2"/>
      <c r="L250" s="4"/>
      <c r="M250" s="2"/>
      <c r="N250" s="2"/>
      <c r="O250" s="5"/>
      <c r="P250" s="5"/>
      <c r="Q250" s="5"/>
      <c r="R250" s="5"/>
      <c r="S250" s="4"/>
      <c r="T250" s="2"/>
      <c r="U250" s="2"/>
      <c r="V250" s="2"/>
      <c r="W250" s="2"/>
      <c r="X250" s="6"/>
      <c r="Y250" s="163"/>
      <c r="Z250" s="163"/>
      <c r="AA250" s="163"/>
      <c r="AB250" s="163"/>
      <c r="AC250" s="163"/>
      <c r="AD250" s="163"/>
      <c r="AE250" s="163"/>
      <c r="AF250" s="163"/>
    </row>
    <row r="251" spans="1:32" ht="15.75" customHeight="1" x14ac:dyDescent="0.2">
      <c r="A251" s="2"/>
      <c r="B251" s="2"/>
      <c r="C251" s="2"/>
      <c r="D251" s="2"/>
      <c r="E251" s="2"/>
      <c r="F251" s="2"/>
      <c r="G251" s="2"/>
      <c r="H251" s="2"/>
      <c r="I251" s="2"/>
      <c r="J251" s="3"/>
      <c r="K251" s="2"/>
      <c r="L251" s="4"/>
      <c r="M251" s="2"/>
      <c r="N251" s="2"/>
      <c r="O251" s="5"/>
      <c r="P251" s="5"/>
      <c r="Q251" s="5"/>
      <c r="R251" s="5"/>
      <c r="S251" s="4"/>
      <c r="T251" s="2"/>
      <c r="U251" s="2"/>
      <c r="V251" s="2"/>
      <c r="W251" s="2"/>
      <c r="X251" s="6"/>
      <c r="Y251" s="163"/>
      <c r="Z251" s="163"/>
      <c r="AA251" s="163"/>
      <c r="AB251" s="163"/>
      <c r="AC251" s="163"/>
      <c r="AD251" s="163"/>
      <c r="AE251" s="163"/>
      <c r="AF251" s="163"/>
    </row>
    <row r="252" spans="1:32" ht="15.75" customHeight="1" x14ac:dyDescent="0.2">
      <c r="A252" s="2"/>
      <c r="B252" s="2"/>
      <c r="C252" s="2"/>
      <c r="D252" s="2"/>
      <c r="E252" s="2"/>
      <c r="F252" s="2"/>
      <c r="G252" s="2"/>
      <c r="H252" s="2"/>
      <c r="I252" s="2"/>
      <c r="J252" s="3"/>
      <c r="K252" s="2"/>
      <c r="L252" s="4"/>
      <c r="M252" s="2"/>
      <c r="N252" s="2"/>
      <c r="O252" s="5"/>
      <c r="P252" s="5"/>
      <c r="Q252" s="5"/>
      <c r="R252" s="5"/>
      <c r="S252" s="4"/>
      <c r="T252" s="2"/>
      <c r="U252" s="2"/>
      <c r="V252" s="2"/>
      <c r="W252" s="2"/>
      <c r="X252" s="6"/>
      <c r="Y252" s="163"/>
      <c r="Z252" s="163"/>
      <c r="AA252" s="163"/>
      <c r="AB252" s="163"/>
      <c r="AC252" s="163"/>
      <c r="AD252" s="163"/>
      <c r="AE252" s="163"/>
      <c r="AF252" s="163"/>
    </row>
    <row r="253" spans="1:32" ht="15.75" customHeight="1" x14ac:dyDescent="0.2">
      <c r="A253" s="2"/>
      <c r="B253" s="2"/>
      <c r="C253" s="2"/>
      <c r="D253" s="2"/>
      <c r="E253" s="2"/>
      <c r="F253" s="2"/>
      <c r="G253" s="2"/>
      <c r="H253" s="2"/>
      <c r="I253" s="2"/>
      <c r="J253" s="3"/>
      <c r="K253" s="2"/>
      <c r="L253" s="4"/>
      <c r="M253" s="2"/>
      <c r="N253" s="2"/>
      <c r="O253" s="5"/>
      <c r="P253" s="5"/>
      <c r="Q253" s="5"/>
      <c r="R253" s="5"/>
      <c r="S253" s="4"/>
      <c r="T253" s="2"/>
      <c r="U253" s="2"/>
      <c r="V253" s="2"/>
      <c r="W253" s="2"/>
      <c r="X253" s="6"/>
      <c r="Y253" s="163"/>
      <c r="Z253" s="163"/>
      <c r="AA253" s="163"/>
      <c r="AB253" s="163"/>
      <c r="AC253" s="163"/>
      <c r="AD253" s="163"/>
      <c r="AE253" s="163"/>
      <c r="AF253" s="163"/>
    </row>
    <row r="254" spans="1:32" ht="15.75" customHeight="1" x14ac:dyDescent="0.2">
      <c r="A254" s="2"/>
      <c r="B254" s="2"/>
      <c r="C254" s="2"/>
      <c r="D254" s="2"/>
      <c r="E254" s="2"/>
      <c r="F254" s="2"/>
      <c r="G254" s="2"/>
      <c r="H254" s="2"/>
      <c r="I254" s="2"/>
      <c r="J254" s="3"/>
      <c r="K254" s="2"/>
      <c r="L254" s="4"/>
      <c r="M254" s="2"/>
      <c r="N254" s="2"/>
      <c r="O254" s="5"/>
      <c r="P254" s="5"/>
      <c r="Q254" s="5"/>
      <c r="R254" s="5"/>
      <c r="S254" s="4"/>
      <c r="T254" s="2"/>
      <c r="U254" s="2"/>
      <c r="V254" s="2"/>
      <c r="W254" s="2"/>
      <c r="X254" s="6"/>
      <c r="Y254" s="163"/>
      <c r="Z254" s="163"/>
      <c r="AA254" s="163"/>
      <c r="AB254" s="163"/>
      <c r="AC254" s="163"/>
      <c r="AD254" s="163"/>
      <c r="AE254" s="163"/>
      <c r="AF254" s="163"/>
    </row>
    <row r="255" spans="1:32" ht="15.75" customHeight="1" x14ac:dyDescent="0.2"/>
    <row r="256" spans="1:32"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sheetData>
  <autoFilter ref="A1:AI79" xr:uid="{00000000-0001-0000-0000-000000000000}">
    <filterColumn colId="14" showButton="0"/>
    <filterColumn colId="15" showButton="0"/>
    <filterColumn colId="16" showButton="0"/>
    <filterColumn colId="17" showButton="0"/>
    <filterColumn colId="19" showButton="0"/>
    <filterColumn colId="20" showButton="0"/>
    <filterColumn colId="21" showButton="0"/>
    <filterColumn colId="22" showButton="0"/>
  </autoFilter>
  <mergeCells count="191">
    <mergeCell ref="I45:I47"/>
    <mergeCell ref="H45:H47"/>
    <mergeCell ref="G45:G47"/>
    <mergeCell ref="F45:F47"/>
    <mergeCell ref="E45:E47"/>
    <mergeCell ref="A37:A47"/>
    <mergeCell ref="B37:B47"/>
    <mergeCell ref="C37:C47"/>
    <mergeCell ref="D37:D47"/>
    <mergeCell ref="I30:I33"/>
    <mergeCell ref="H30:H33"/>
    <mergeCell ref="G30:G33"/>
    <mergeCell ref="F30:F33"/>
    <mergeCell ref="E30:E33"/>
    <mergeCell ref="I34:I36"/>
    <mergeCell ref="H34:H36"/>
    <mergeCell ref="G34:G36"/>
    <mergeCell ref="F34:F36"/>
    <mergeCell ref="E34:E36"/>
    <mergeCell ref="E60:E72"/>
    <mergeCell ref="E73:E76"/>
    <mergeCell ref="E77:E79"/>
    <mergeCell ref="A48:A79"/>
    <mergeCell ref="B48:B79"/>
    <mergeCell ref="C48:C79"/>
    <mergeCell ref="D48:D79"/>
    <mergeCell ref="E6:E8"/>
    <mergeCell ref="E9:E10"/>
    <mergeCell ref="C9:C14"/>
    <mergeCell ref="D9:D14"/>
    <mergeCell ref="E11:E14"/>
    <mergeCell ref="E37:E39"/>
    <mergeCell ref="B15:B36"/>
    <mergeCell ref="C30:C36"/>
    <mergeCell ref="C15:C29"/>
    <mergeCell ref="D15:D29"/>
    <mergeCell ref="E15:E28"/>
    <mergeCell ref="D30:D36"/>
    <mergeCell ref="E48:E49"/>
    <mergeCell ref="E50:E52"/>
    <mergeCell ref="E53:E59"/>
    <mergeCell ref="E40:E44"/>
    <mergeCell ref="A1:A2"/>
    <mergeCell ref="B1:B2"/>
    <mergeCell ref="A3:A14"/>
    <mergeCell ref="A15:A36"/>
    <mergeCell ref="B3:B14"/>
    <mergeCell ref="C3:C8"/>
    <mergeCell ref="D3:D8"/>
    <mergeCell ref="E3:E5"/>
    <mergeCell ref="C1:C2"/>
    <mergeCell ref="D1:D2"/>
    <mergeCell ref="H3:H5"/>
    <mergeCell ref="G3:G5"/>
    <mergeCell ref="F3:F5"/>
    <mergeCell ref="I3:I5"/>
    <mergeCell ref="V3:V5"/>
    <mergeCell ref="W3:W5"/>
    <mergeCell ref="X3:X5"/>
    <mergeCell ref="AG1:AG2"/>
    <mergeCell ref="AH1:AH2"/>
    <mergeCell ref="AI1:AI2"/>
    <mergeCell ref="AF1:AF2"/>
    <mergeCell ref="E1:E2"/>
    <mergeCell ref="F1:F2"/>
    <mergeCell ref="H1:H2"/>
    <mergeCell ref="I1:I2"/>
    <mergeCell ref="Z1:Z2"/>
    <mergeCell ref="Y1:Y2"/>
    <mergeCell ref="AA1:AA2"/>
    <mergeCell ref="AB1:AB2"/>
    <mergeCell ref="AC1:AC2"/>
    <mergeCell ref="J1:J2"/>
    <mergeCell ref="K1:K2"/>
    <mergeCell ref="AD1:AD2"/>
    <mergeCell ref="G1:G2"/>
    <mergeCell ref="AE1:AE2"/>
    <mergeCell ref="L1:L2"/>
    <mergeCell ref="M1:M2"/>
    <mergeCell ref="N1:N2"/>
    <mergeCell ref="O1:S1"/>
    <mergeCell ref="T1:X1"/>
    <mergeCell ref="F9:F10"/>
    <mergeCell ref="G9:G10"/>
    <mergeCell ref="G11:G14"/>
    <mergeCell ref="F11:F14"/>
    <mergeCell ref="F15:F28"/>
    <mergeCell ref="G15:G28"/>
    <mergeCell ref="G6:G8"/>
    <mergeCell ref="F6:F8"/>
    <mergeCell ref="F77:F79"/>
    <mergeCell ref="F73:F76"/>
    <mergeCell ref="F37:F39"/>
    <mergeCell ref="G37:G39"/>
    <mergeCell ref="F40:F44"/>
    <mergeCell ref="G40:G44"/>
    <mergeCell ref="F48:F49"/>
    <mergeCell ref="G48:G49"/>
    <mergeCell ref="F60:F72"/>
    <mergeCell ref="F50:F52"/>
    <mergeCell ref="G50:G52"/>
    <mergeCell ref="F53:F59"/>
    <mergeCell ref="G73:G76"/>
    <mergeCell ref="G77:G79"/>
    <mergeCell ref="G53:G59"/>
    <mergeCell ref="G60:G72"/>
    <mergeCell ref="I6:I8"/>
    <mergeCell ref="I9:I10"/>
    <mergeCell ref="I11:I14"/>
    <mergeCell ref="I15:I28"/>
    <mergeCell ref="H37:H39"/>
    <mergeCell ref="I37:I39"/>
    <mergeCell ref="I40:I44"/>
    <mergeCell ref="H40:H44"/>
    <mergeCell ref="H77:H79"/>
    <mergeCell ref="I77:I79"/>
    <mergeCell ref="I53:I59"/>
    <mergeCell ref="H60:H72"/>
    <mergeCell ref="I60:I72"/>
    <mergeCell ref="H73:H76"/>
    <mergeCell ref="I73:I76"/>
    <mergeCell ref="I48:I49"/>
    <mergeCell ref="H50:H52"/>
    <mergeCell ref="I50:I52"/>
    <mergeCell ref="H6:H8"/>
    <mergeCell ref="H9:H10"/>
    <mergeCell ref="H11:H14"/>
    <mergeCell ref="H15:H28"/>
    <mergeCell ref="H48:H49"/>
    <mergeCell ref="H53:H59"/>
    <mergeCell ref="V11:V14"/>
    <mergeCell ref="W11:W14"/>
    <mergeCell ref="X11:X14"/>
    <mergeCell ref="V15:V28"/>
    <mergeCell ref="W15:W28"/>
    <mergeCell ref="X15:X28"/>
    <mergeCell ref="V6:V8"/>
    <mergeCell ref="W6:W8"/>
    <mergeCell ref="X6:X8"/>
    <mergeCell ref="V9:V10"/>
    <mergeCell ref="W9:W10"/>
    <mergeCell ref="X9:X10"/>
    <mergeCell ref="V77:V79"/>
    <mergeCell ref="W77:W79"/>
    <mergeCell ref="X77:X79"/>
    <mergeCell ref="V60:V72"/>
    <mergeCell ref="W60:W72"/>
    <mergeCell ref="X60:X72"/>
    <mergeCell ref="V73:V76"/>
    <mergeCell ref="W73:W76"/>
    <mergeCell ref="X73:X76"/>
    <mergeCell ref="J66:J69"/>
    <mergeCell ref="N66:N69"/>
    <mergeCell ref="O66:O69"/>
    <mergeCell ref="P66:P69"/>
    <mergeCell ref="Q66:Q69"/>
    <mergeCell ref="R66:R69"/>
    <mergeCell ref="S66:S69"/>
    <mergeCell ref="V48:V49"/>
    <mergeCell ref="W48:W49"/>
    <mergeCell ref="X48:X49"/>
    <mergeCell ref="Z66:Z69"/>
    <mergeCell ref="K66:K69"/>
    <mergeCell ref="L66:L69"/>
    <mergeCell ref="AD66:AD69"/>
    <mergeCell ref="AE66:AE69"/>
    <mergeCell ref="AF66:AF69"/>
    <mergeCell ref="AG66:AG69"/>
    <mergeCell ref="V53:V59"/>
    <mergeCell ref="W53:W59"/>
    <mergeCell ref="X53:X59"/>
    <mergeCell ref="V50:V52"/>
    <mergeCell ref="W50:W52"/>
    <mergeCell ref="X50:X52"/>
    <mergeCell ref="V45:V47"/>
    <mergeCell ref="W45:W47"/>
    <mergeCell ref="X45:X47"/>
    <mergeCell ref="V30:V33"/>
    <mergeCell ref="W30:W33"/>
    <mergeCell ref="X30:X33"/>
    <mergeCell ref="V34:V36"/>
    <mergeCell ref="W34:W36"/>
    <mergeCell ref="X34:X36"/>
    <mergeCell ref="V37:V39"/>
    <mergeCell ref="W37:W39"/>
    <mergeCell ref="X37:X39"/>
    <mergeCell ref="V40:V44"/>
    <mergeCell ref="W40:W44"/>
    <mergeCell ref="X40:X44"/>
    <mergeCell ref="U46:U47"/>
    <mergeCell ref="T46:T47"/>
  </mergeCells>
  <phoneticPr fontId="10" type="noConversion"/>
  <dataValidations xWindow="109" yWindow="270" count="5">
    <dataValidation type="whole" allowBlank="1" showInputMessage="1" showErrorMessage="1" sqref="B80:B103 I53 D80:D103 B48 D48 B37 B3 D3 D9 B15 D15 D37 F3 F6:F7 F9 F11 F15 F40 F50:F51 F53 F80:F103 F77 F73 F60 J78:J103 J53:J64 I77 I40 I73 I80:I103 I3 I6:I7 I9 I11 I15 I60 J66 J10:J12 J15:J20 I34 D30:D35 F37 I29:I30 F29:F30 I37 F34 I45 I48 F48 K48:K66 F45 I50:J51 J71:J72 J74 L71:L79 K70:K103 J29 L10:L66 K3:K46 J37:J45" xr:uid="{00000000-0002-0000-0000-000000000000}">
      <formula1>1</formula1>
      <formula2>100</formula2>
    </dataValidation>
    <dataValidation allowBlank="1" showInputMessage="1" showErrorMessage="1" errorTitle="ERROR" error="No se pueden asignar recursos a actividades sin meta" sqref="T3:T5" xr:uid="{00000000-0002-0000-0000-000001000000}"/>
    <dataValidation type="whole" allowBlank="1" sqref="J13:J14" xr:uid="{5D67524F-2258-42AE-9200-689AFB2C5F21}">
      <formula1>1</formula1>
      <formula2>100</formula2>
    </dataValidation>
    <dataValidation allowBlank="1" showInputMessage="1" sqref="J21:J25 J30:J36 J48 J52 J70" xr:uid="{182D9E3C-681E-4418-87D2-8A6C41FA7A69}"/>
    <dataValidation type="custom" allowBlank="1" showInputMessage="1" showErrorMessage="1" sqref="J46:J47" xr:uid="{F724CA8F-9EA1-47F2-A35E-EC18C7E3332D}">
      <formula1>1</formula1>
    </dataValidation>
  </dataValidations>
  <pageMargins left="0.7" right="0.7" top="0.75" bottom="0.75" header="0" footer="0"/>
  <pageSetup orientation="portrait" r:id="rId1"/>
  <legacyDrawing r:id="rId2"/>
  <extLst>
    <ext xmlns:x14="http://schemas.microsoft.com/office/spreadsheetml/2009/9/main" uri="{CCE6A557-97BC-4b89-ADB6-D9C93CAAB3DF}">
      <x14:dataValidations xmlns:xm="http://schemas.microsoft.com/office/excel/2006/main" xWindow="109" yWindow="270" count="12">
        <x14:dataValidation type="list" allowBlank="1" showInputMessage="1" showErrorMessage="1" prompt="Seleccione un programa de la lista" xr:uid="{00000000-0002-0000-0000-000002000000}">
          <x14:formula1>
            <xm:f>PIP!$C$5:$C$14</xm:f>
          </x14:formula1>
          <xm:sqref>G3 G6:G7 G9 G11 G15 G40 G50:G51 G53 G77 G73 G60 G29:G30 G34 G37 G45 G48 AA3:AA79</xm:sqref>
        </x14:dataValidation>
        <x14:dataValidation type="list" allowBlank="1" showInputMessage="1" showErrorMessage="1" prompt="CATOCDE - Seleccione una categoria de la lista" xr:uid="{00000000-0002-0000-0000-000004000000}">
          <x14:formula1>
            <xm:f>Articulación!$K$3:$K$5</xm:f>
          </x14:formula1>
          <xm:sqref>AD70:AD79 AD3:AD65</xm:sqref>
        </x14:dataValidation>
        <x14:dataValidation type="list" allowBlank="1" showInputMessage="1" prompt="ProductoProgNal - Seleccione el producto asociado al programa nacional que corresponda. Si no encuentra alguno que se ajuste escriba el producto definido para el objetivo de proyecto." xr:uid="{00000000-0002-0000-0000-000007000000}">
          <x14:formula1>
            <xm:f>PIP!$E$3:$E$312</xm:f>
          </x14:formula1>
          <xm:sqref>Z70:Z79 Z3:Z66</xm:sqref>
        </x14:dataValidation>
        <x14:dataValidation type="list" allowBlank="1" showInputMessage="1" showErrorMessage="1" xr:uid="{00000000-0002-0000-0000-000009000000}">
          <x14:formula1>
            <xm:f>Actividades!$B$4:$B$63</xm:f>
          </x14:formula1>
          <xm:sqref>N70:N79 N3:N66</xm:sqref>
        </x14:dataValidation>
        <x14:dataValidation type="list" allowBlank="1" showInputMessage="1" showErrorMessage="1" xr:uid="{00000000-0002-0000-0000-00000C000000}">
          <x14:formula1>
            <xm:f>Articulación!$V$3:$V$4</xm:f>
          </x14:formula1>
          <xm:sqref>AG70:AG79 AG3:AG66</xm:sqref>
        </x14:dataValidation>
        <x14:dataValidation type="list" allowBlank="1" showInputMessage="1" showErrorMessage="1" prompt="SubcatOCDE - Seleccione una subcategoría de la lista" xr:uid="{00000000-0002-0000-0000-00000F000000}">
          <x14:formula1>
            <xm:f>Articulación!$O$4:$O$20</xm:f>
          </x14:formula1>
          <xm:sqref>AE70:AE79 AE3:AE65</xm:sqref>
        </x14:dataValidation>
        <x14:dataValidation type="list" allowBlank="1" showInputMessage="1" showErrorMessage="1" prompt="Geometria - Seleccione una opción de la lista" xr:uid="{00000000-0002-0000-0000-000010000000}">
          <x14:formula1>
            <xm:f>PIP!$E$3:$E$312</xm:f>
          </x14:formula1>
          <xm:sqref>Z70:Z79 Z3:Z66</xm:sqref>
        </x14:dataValidation>
        <x14:dataValidation type="list" allowBlank="1" showInputMessage="1" prompt="ProductoProgNal - Seleccione el producto asociado al programa nacional que corresponda. Si no encuentra alguno que se ajuste escriba el producto definido para el objetivo de proyecto." xr:uid="{00000000-0002-0000-0000-000003000000}">
          <x14:formula1>
            <xm:f>PIP!$O$3:$O$662</xm:f>
          </x14:formula1>
          <xm:sqref>AA3:AA79</xm:sqref>
        </x14:dataValidation>
        <x14:dataValidation type="list" allowBlank="1" showInputMessage="1" showErrorMessage="1" prompt="Geometria - Seleccione una opción de la lista" xr:uid="{00000000-0002-0000-0000-000005000000}">
          <x14:formula1>
            <xm:f>Actividades!$D$3:$D$6</xm:f>
          </x14:formula1>
          <xm:sqref>AA3:AA79</xm:sqref>
        </x14:dataValidation>
        <x14:dataValidation type="list" allowBlank="1" showInputMessage="1" showErrorMessage="1" promptTitle="IndPlanNal" prompt="Seleccione el indicador asociado al producto del programa nacional al cual se encuentra relacionado. En caso de no encontrarlo en la lista deplegable o que el producto no corresponda a uno de los del programa nacional, seleccione la opción No aplica. " xr:uid="{00000000-0002-0000-0000-000006000000}">
          <x14:formula1>
            <xm:f>PIP!$O$3:$O$663</xm:f>
          </x14:formula1>
          <xm:sqref>AA3:AA79</xm:sqref>
        </x14:dataValidation>
        <x14:dataValidation type="list" allowBlank="1" showInputMessage="1" prompt="Categoria IMG - Seleccione una categoría o temática de la lista. En caso de corresponder, escribala." xr:uid="{00000000-0002-0000-0000-000008000000}">
          <x14:formula1>
            <xm:f>Actividades!$K$2:$K$88</xm:f>
          </x14:formula1>
          <xm:sqref>M3:M79</xm:sqref>
        </x14:dataValidation>
        <x14:dataValidation type="list" allowBlank="1" showInputMessage="1" showErrorMessage="1" xr:uid="{00000000-0002-0000-0000-00000B000000}">
          <x14:formula1>
            <xm:f>Articulación!$B$4:$B$60</xm:f>
          </x14:formula1>
          <xm:sqref>AB3:AB79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outlinePr summaryBelow="0" summaryRight="0"/>
  </sheetPr>
  <dimension ref="A1:S1002"/>
  <sheetViews>
    <sheetView topLeftCell="C1" zoomScale="83" zoomScaleNormal="83" workbookViewId="0">
      <selection activeCell="E1" sqref="E1:G1"/>
    </sheetView>
  </sheetViews>
  <sheetFormatPr baseColWidth="10" defaultColWidth="12.625" defaultRowHeight="15" customHeight="1" x14ac:dyDescent="0.2"/>
  <cols>
    <col min="1" max="1" width="4.125" style="2" customWidth="1"/>
    <col min="2" max="2" width="9.375" style="2" customWidth="1"/>
    <col min="3" max="3" width="79.625" style="2" customWidth="1"/>
    <col min="4" max="4" width="12.625" style="2"/>
    <col min="5" max="5" width="93.875" style="2" customWidth="1"/>
    <col min="6" max="6" width="53.375" style="2" customWidth="1"/>
    <col min="7" max="7" width="49.5" style="2" customWidth="1"/>
    <col min="8" max="8" width="12.625" style="2"/>
    <col min="9" max="13" width="0" style="2" hidden="1" customWidth="1"/>
    <col min="14" max="14" width="12.625" style="2"/>
    <col min="15" max="15" width="44.625" style="2" customWidth="1"/>
    <col min="16" max="16" width="14.625" style="2" customWidth="1"/>
    <col min="17" max="16384" width="12.625" style="2"/>
  </cols>
  <sheetData>
    <row r="1" spans="1:19" ht="15" customHeight="1" x14ac:dyDescent="0.2">
      <c r="E1" s="218" t="s">
        <v>211</v>
      </c>
      <c r="F1" s="219"/>
      <c r="G1" s="220"/>
      <c r="O1" s="221" t="s">
        <v>212</v>
      </c>
      <c r="P1" s="222"/>
      <c r="Q1" s="222"/>
      <c r="R1" s="222"/>
      <c r="S1" s="223"/>
    </row>
    <row r="2" spans="1:19" ht="15.75" customHeight="1" x14ac:dyDescent="0.2">
      <c r="A2" s="9"/>
      <c r="B2" s="10"/>
      <c r="C2" s="9"/>
      <c r="D2" s="9"/>
      <c r="E2" s="11" t="s">
        <v>213</v>
      </c>
      <c r="F2" s="12" t="s">
        <v>214</v>
      </c>
      <c r="G2" s="13" t="s">
        <v>215</v>
      </c>
      <c r="H2" s="9"/>
      <c r="I2" s="9" t="s">
        <v>216</v>
      </c>
      <c r="J2" s="9" t="s">
        <v>217</v>
      </c>
      <c r="K2" s="9" t="s">
        <v>218</v>
      </c>
      <c r="L2" s="9" t="s">
        <v>219</v>
      </c>
      <c r="M2" s="9" t="s">
        <v>220</v>
      </c>
      <c r="N2" s="9"/>
      <c r="O2" s="11" t="s">
        <v>216</v>
      </c>
      <c r="P2" s="12" t="s">
        <v>217</v>
      </c>
      <c r="Q2" s="12" t="s">
        <v>218</v>
      </c>
      <c r="R2" s="12" t="s">
        <v>219</v>
      </c>
      <c r="S2" s="13" t="s">
        <v>220</v>
      </c>
    </row>
    <row r="3" spans="1:19" ht="15.75" hidden="1" customHeight="1" x14ac:dyDescent="0.2">
      <c r="A3" s="9"/>
      <c r="B3" s="216" t="s">
        <v>221</v>
      </c>
      <c r="C3" s="217"/>
      <c r="D3" s="9"/>
      <c r="E3" s="14" t="s">
        <v>58</v>
      </c>
      <c r="F3" s="15" t="s">
        <v>222</v>
      </c>
      <c r="G3" s="16" t="s">
        <v>223</v>
      </c>
      <c r="H3" s="9"/>
      <c r="I3" s="9" t="s">
        <v>224</v>
      </c>
      <c r="J3" s="9" t="s">
        <v>43</v>
      </c>
      <c r="K3" s="9" t="s">
        <v>225</v>
      </c>
      <c r="L3" s="9" t="s">
        <v>225</v>
      </c>
      <c r="M3" s="9" t="s">
        <v>226</v>
      </c>
      <c r="N3" s="9"/>
      <c r="O3" s="17" t="s">
        <v>224</v>
      </c>
      <c r="P3" s="18" t="s">
        <v>43</v>
      </c>
      <c r="Q3" s="18" t="s">
        <v>225</v>
      </c>
      <c r="R3" s="18" t="s">
        <v>225</v>
      </c>
      <c r="S3" s="19" t="s">
        <v>226</v>
      </c>
    </row>
    <row r="4" spans="1:19" ht="15.75" hidden="1" customHeight="1" x14ac:dyDescent="0.2">
      <c r="A4" s="9"/>
      <c r="B4" s="20" t="s">
        <v>227</v>
      </c>
      <c r="C4" s="21" t="s">
        <v>228</v>
      </c>
      <c r="D4" s="9"/>
      <c r="E4" s="14" t="s">
        <v>229</v>
      </c>
      <c r="F4" s="15" t="s">
        <v>230</v>
      </c>
      <c r="G4" s="16" t="s">
        <v>223</v>
      </c>
      <c r="H4" s="9"/>
      <c r="I4" s="9" t="s">
        <v>231</v>
      </c>
      <c r="J4" s="9" t="s">
        <v>43</v>
      </c>
      <c r="K4" s="9" t="s">
        <v>226</v>
      </c>
      <c r="L4" s="9" t="s">
        <v>225</v>
      </c>
      <c r="M4" s="9" t="s">
        <v>226</v>
      </c>
      <c r="N4" s="9"/>
      <c r="O4" s="22" t="s">
        <v>231</v>
      </c>
      <c r="P4" s="23" t="s">
        <v>43</v>
      </c>
      <c r="Q4" s="23" t="s">
        <v>226</v>
      </c>
      <c r="R4" s="23" t="s">
        <v>225</v>
      </c>
      <c r="S4" s="24" t="s">
        <v>226</v>
      </c>
    </row>
    <row r="5" spans="1:19" ht="15.75" hidden="1" customHeight="1" x14ac:dyDescent="0.2">
      <c r="A5" s="9"/>
      <c r="B5" s="25">
        <v>1</v>
      </c>
      <c r="C5" s="26" t="s">
        <v>28</v>
      </c>
      <c r="D5" s="9"/>
      <c r="E5" s="14" t="s">
        <v>62</v>
      </c>
      <c r="F5" s="15" t="s">
        <v>232</v>
      </c>
      <c r="G5" s="16" t="s">
        <v>233</v>
      </c>
      <c r="H5" s="9"/>
      <c r="I5" s="9" t="s">
        <v>234</v>
      </c>
      <c r="J5" s="9" t="s">
        <v>43</v>
      </c>
      <c r="K5" s="9" t="s">
        <v>226</v>
      </c>
      <c r="L5" s="9" t="s">
        <v>225</v>
      </c>
      <c r="M5" s="9" t="s">
        <v>226</v>
      </c>
      <c r="N5" s="9"/>
      <c r="O5" s="22" t="s">
        <v>234</v>
      </c>
      <c r="P5" s="23" t="s">
        <v>43</v>
      </c>
      <c r="Q5" s="23" t="s">
        <v>226</v>
      </c>
      <c r="R5" s="23" t="s">
        <v>225</v>
      </c>
      <c r="S5" s="24" t="s">
        <v>226</v>
      </c>
    </row>
    <row r="6" spans="1:19" ht="15.75" hidden="1" customHeight="1" x14ac:dyDescent="0.2">
      <c r="A6" s="9"/>
      <c r="B6" s="27">
        <v>2</v>
      </c>
      <c r="C6" s="26" t="s">
        <v>118</v>
      </c>
      <c r="D6" s="9"/>
      <c r="E6" s="14" t="s">
        <v>44</v>
      </c>
      <c r="F6" s="15" t="s">
        <v>235</v>
      </c>
      <c r="G6" s="16" t="s">
        <v>236</v>
      </c>
      <c r="H6" s="9"/>
      <c r="I6" s="9" t="s">
        <v>237</v>
      </c>
      <c r="J6" s="9" t="s">
        <v>43</v>
      </c>
      <c r="K6" s="9" t="s">
        <v>226</v>
      </c>
      <c r="L6" s="9" t="s">
        <v>225</v>
      </c>
      <c r="M6" s="9" t="s">
        <v>226</v>
      </c>
      <c r="N6" s="9"/>
      <c r="O6" s="22" t="s">
        <v>237</v>
      </c>
      <c r="P6" s="23" t="s">
        <v>43</v>
      </c>
      <c r="Q6" s="23" t="s">
        <v>226</v>
      </c>
      <c r="R6" s="23" t="s">
        <v>225</v>
      </c>
      <c r="S6" s="24" t="s">
        <v>226</v>
      </c>
    </row>
    <row r="7" spans="1:19" ht="15.75" hidden="1" customHeight="1" x14ac:dyDescent="0.2">
      <c r="A7" s="9"/>
      <c r="B7" s="27">
        <v>3</v>
      </c>
      <c r="C7" s="26" t="s">
        <v>83</v>
      </c>
      <c r="D7" s="9"/>
      <c r="E7" s="14" t="s">
        <v>238</v>
      </c>
      <c r="F7" s="15" t="s">
        <v>239</v>
      </c>
      <c r="G7" s="16" t="s">
        <v>223</v>
      </c>
      <c r="H7" s="9"/>
      <c r="I7" s="9" t="s">
        <v>240</v>
      </c>
      <c r="J7" s="9" t="s">
        <v>43</v>
      </c>
      <c r="K7" s="9" t="s">
        <v>226</v>
      </c>
      <c r="L7" s="9" t="s">
        <v>225</v>
      </c>
      <c r="M7" s="9" t="s">
        <v>226</v>
      </c>
      <c r="N7" s="9"/>
      <c r="O7" s="22" t="s">
        <v>240</v>
      </c>
      <c r="P7" s="23" t="s">
        <v>43</v>
      </c>
      <c r="Q7" s="23" t="s">
        <v>226</v>
      </c>
      <c r="R7" s="23" t="s">
        <v>225</v>
      </c>
      <c r="S7" s="24" t="s">
        <v>226</v>
      </c>
    </row>
    <row r="8" spans="1:19" ht="15.75" hidden="1" customHeight="1" x14ac:dyDescent="0.2">
      <c r="A8" s="9"/>
      <c r="B8" s="27">
        <v>4</v>
      </c>
      <c r="C8" s="26" t="s">
        <v>173</v>
      </c>
      <c r="D8" s="9"/>
      <c r="E8" s="14" t="s">
        <v>241</v>
      </c>
      <c r="F8" s="15" t="s">
        <v>242</v>
      </c>
      <c r="G8" s="16" t="s">
        <v>223</v>
      </c>
      <c r="H8" s="9"/>
      <c r="I8" s="9" t="s">
        <v>243</v>
      </c>
      <c r="J8" s="9" t="s">
        <v>43</v>
      </c>
      <c r="K8" s="9" t="s">
        <v>226</v>
      </c>
      <c r="L8" s="9" t="s">
        <v>225</v>
      </c>
      <c r="M8" s="9" t="s">
        <v>226</v>
      </c>
      <c r="N8" s="9"/>
      <c r="O8" s="22" t="s">
        <v>243</v>
      </c>
      <c r="P8" s="23" t="s">
        <v>43</v>
      </c>
      <c r="Q8" s="23" t="s">
        <v>226</v>
      </c>
      <c r="R8" s="23" t="s">
        <v>225</v>
      </c>
      <c r="S8" s="24" t="s">
        <v>226</v>
      </c>
    </row>
    <row r="9" spans="1:19" ht="15.75" hidden="1" customHeight="1" x14ac:dyDescent="0.2">
      <c r="A9" s="9"/>
      <c r="B9" s="27">
        <v>5</v>
      </c>
      <c r="C9" s="26" t="s">
        <v>109</v>
      </c>
      <c r="D9" s="9"/>
      <c r="E9" s="14" t="s">
        <v>52</v>
      </c>
      <c r="F9" s="15" t="s">
        <v>244</v>
      </c>
      <c r="G9" s="16" t="s">
        <v>245</v>
      </c>
      <c r="H9" s="9"/>
      <c r="I9" s="9" t="s">
        <v>246</v>
      </c>
      <c r="J9" s="9" t="s">
        <v>43</v>
      </c>
      <c r="K9" s="9" t="s">
        <v>226</v>
      </c>
      <c r="L9" s="9" t="s">
        <v>225</v>
      </c>
      <c r="M9" s="9" t="s">
        <v>226</v>
      </c>
      <c r="N9" s="9"/>
      <c r="O9" s="22" t="s">
        <v>246</v>
      </c>
      <c r="P9" s="23" t="s">
        <v>43</v>
      </c>
      <c r="Q9" s="23" t="s">
        <v>226</v>
      </c>
      <c r="R9" s="23" t="s">
        <v>225</v>
      </c>
      <c r="S9" s="24" t="s">
        <v>226</v>
      </c>
    </row>
    <row r="10" spans="1:19" ht="15.75" hidden="1" customHeight="1" x14ac:dyDescent="0.2">
      <c r="A10" s="9"/>
      <c r="B10" s="27">
        <v>6</v>
      </c>
      <c r="C10" s="26" t="s">
        <v>65</v>
      </c>
      <c r="D10" s="9"/>
      <c r="E10" s="14" t="s">
        <v>247</v>
      </c>
      <c r="F10" s="15" t="s">
        <v>248</v>
      </c>
      <c r="G10" s="16" t="s">
        <v>249</v>
      </c>
      <c r="H10" s="9"/>
      <c r="I10" s="9" t="s">
        <v>250</v>
      </c>
      <c r="J10" s="9" t="s">
        <v>43</v>
      </c>
      <c r="K10" s="9" t="s">
        <v>226</v>
      </c>
      <c r="L10" s="9" t="s">
        <v>225</v>
      </c>
      <c r="M10" s="9" t="s">
        <v>226</v>
      </c>
      <c r="N10" s="9"/>
      <c r="O10" s="22" t="s">
        <v>250</v>
      </c>
      <c r="P10" s="23" t="s">
        <v>43</v>
      </c>
      <c r="Q10" s="23" t="s">
        <v>226</v>
      </c>
      <c r="R10" s="23" t="s">
        <v>225</v>
      </c>
      <c r="S10" s="24" t="s">
        <v>226</v>
      </c>
    </row>
    <row r="11" spans="1:19" ht="15.75" hidden="1" customHeight="1" x14ac:dyDescent="0.2">
      <c r="A11" s="9"/>
      <c r="B11" s="27">
        <v>7</v>
      </c>
      <c r="C11" s="26" t="s">
        <v>251</v>
      </c>
      <c r="D11" s="9"/>
      <c r="E11" s="14" t="s">
        <v>252</v>
      </c>
      <c r="F11" s="15" t="s">
        <v>253</v>
      </c>
      <c r="G11" s="16" t="s">
        <v>254</v>
      </c>
      <c r="H11" s="9"/>
      <c r="I11" s="9" t="s">
        <v>255</v>
      </c>
      <c r="J11" s="9" t="s">
        <v>43</v>
      </c>
      <c r="K11" s="9" t="s">
        <v>226</v>
      </c>
      <c r="L11" s="9" t="s">
        <v>225</v>
      </c>
      <c r="M11" s="9" t="s">
        <v>226</v>
      </c>
      <c r="N11" s="9"/>
      <c r="O11" s="22" t="s">
        <v>255</v>
      </c>
      <c r="P11" s="23" t="s">
        <v>43</v>
      </c>
      <c r="Q11" s="23" t="s">
        <v>226</v>
      </c>
      <c r="R11" s="23" t="s">
        <v>225</v>
      </c>
      <c r="S11" s="24" t="s">
        <v>226</v>
      </c>
    </row>
    <row r="12" spans="1:19" ht="15.75" hidden="1" customHeight="1" x14ac:dyDescent="0.2">
      <c r="A12" s="9"/>
      <c r="B12" s="27">
        <v>8</v>
      </c>
      <c r="C12" s="26" t="s">
        <v>145</v>
      </c>
      <c r="D12" s="9"/>
      <c r="E12" s="14" t="s">
        <v>256</v>
      </c>
      <c r="F12" s="15" t="s">
        <v>257</v>
      </c>
      <c r="G12" s="16" t="s">
        <v>223</v>
      </c>
      <c r="H12" s="9"/>
      <c r="I12" s="9" t="s">
        <v>258</v>
      </c>
      <c r="J12" s="9" t="s">
        <v>43</v>
      </c>
      <c r="K12" s="9" t="s">
        <v>226</v>
      </c>
      <c r="L12" s="9" t="s">
        <v>225</v>
      </c>
      <c r="M12" s="9" t="s">
        <v>226</v>
      </c>
      <c r="N12" s="9"/>
      <c r="O12" s="22" t="s">
        <v>258</v>
      </c>
      <c r="P12" s="23" t="s">
        <v>43</v>
      </c>
      <c r="Q12" s="23" t="s">
        <v>226</v>
      </c>
      <c r="R12" s="23" t="s">
        <v>225</v>
      </c>
      <c r="S12" s="24" t="s">
        <v>226</v>
      </c>
    </row>
    <row r="13" spans="1:19" ht="15.75" hidden="1" customHeight="1" x14ac:dyDescent="0.2">
      <c r="A13" s="9"/>
      <c r="B13" s="27">
        <v>9</v>
      </c>
      <c r="C13" s="26" t="s">
        <v>102</v>
      </c>
      <c r="D13" s="9"/>
      <c r="E13" s="14" t="s">
        <v>259</v>
      </c>
      <c r="F13" s="15" t="s">
        <v>260</v>
      </c>
      <c r="G13" s="16" t="s">
        <v>223</v>
      </c>
      <c r="H13" s="9"/>
      <c r="I13" s="9" t="s">
        <v>261</v>
      </c>
      <c r="J13" s="9" t="s">
        <v>43</v>
      </c>
      <c r="K13" s="9" t="s">
        <v>226</v>
      </c>
      <c r="L13" s="9" t="s">
        <v>225</v>
      </c>
      <c r="M13" s="9" t="s">
        <v>226</v>
      </c>
      <c r="N13" s="9"/>
      <c r="O13" s="22" t="s">
        <v>261</v>
      </c>
      <c r="P13" s="23" t="s">
        <v>43</v>
      </c>
      <c r="Q13" s="23" t="s">
        <v>226</v>
      </c>
      <c r="R13" s="23" t="s">
        <v>225</v>
      </c>
      <c r="S13" s="24" t="s">
        <v>226</v>
      </c>
    </row>
    <row r="14" spans="1:19" ht="15.75" hidden="1" customHeight="1" thickBot="1" x14ac:dyDescent="0.25">
      <c r="A14" s="9"/>
      <c r="B14" s="28">
        <v>10</v>
      </c>
      <c r="C14" s="29" t="s">
        <v>106</v>
      </c>
      <c r="D14" s="9"/>
      <c r="E14" s="14" t="s">
        <v>262</v>
      </c>
      <c r="F14" s="15" t="s">
        <v>263</v>
      </c>
      <c r="G14" s="16" t="s">
        <v>223</v>
      </c>
      <c r="H14" s="9"/>
      <c r="I14" s="9" t="s">
        <v>264</v>
      </c>
      <c r="J14" s="9" t="s">
        <v>43</v>
      </c>
      <c r="K14" s="9" t="s">
        <v>226</v>
      </c>
      <c r="L14" s="9" t="s">
        <v>225</v>
      </c>
      <c r="M14" s="9" t="s">
        <v>226</v>
      </c>
      <c r="N14" s="9"/>
      <c r="O14" s="22" t="s">
        <v>264</v>
      </c>
      <c r="P14" s="23" t="s">
        <v>43</v>
      </c>
      <c r="Q14" s="23" t="s">
        <v>226</v>
      </c>
      <c r="R14" s="23" t="s">
        <v>225</v>
      </c>
      <c r="S14" s="24" t="s">
        <v>226</v>
      </c>
    </row>
    <row r="15" spans="1:19" ht="15.75" hidden="1" customHeight="1" x14ac:dyDescent="0.2">
      <c r="A15" s="9"/>
      <c r="B15" s="10"/>
      <c r="C15" s="9"/>
      <c r="D15" s="9"/>
      <c r="E15" s="14" t="s">
        <v>265</v>
      </c>
      <c r="F15" s="15" t="s">
        <v>266</v>
      </c>
      <c r="G15" s="16" t="s">
        <v>223</v>
      </c>
      <c r="H15" s="9"/>
      <c r="I15" s="9" t="s">
        <v>267</v>
      </c>
      <c r="J15" s="9" t="s">
        <v>43</v>
      </c>
      <c r="K15" s="9" t="s">
        <v>226</v>
      </c>
      <c r="L15" s="9" t="s">
        <v>225</v>
      </c>
      <c r="M15" s="9" t="s">
        <v>226</v>
      </c>
      <c r="N15" s="9"/>
      <c r="O15" s="22" t="s">
        <v>267</v>
      </c>
      <c r="P15" s="23" t="s">
        <v>43</v>
      </c>
      <c r="Q15" s="23" t="s">
        <v>226</v>
      </c>
      <c r="R15" s="23" t="s">
        <v>225</v>
      </c>
      <c r="S15" s="24" t="s">
        <v>226</v>
      </c>
    </row>
    <row r="16" spans="1:19" ht="15.75" hidden="1" customHeight="1" x14ac:dyDescent="0.2">
      <c r="A16" s="9"/>
      <c r="B16" s="10" t="s">
        <v>268</v>
      </c>
      <c r="C16" s="30" t="s">
        <v>269</v>
      </c>
      <c r="D16" s="9"/>
      <c r="E16" s="14" t="s">
        <v>35</v>
      </c>
      <c r="F16" s="15" t="s">
        <v>270</v>
      </c>
      <c r="G16" s="16" t="s">
        <v>271</v>
      </c>
      <c r="H16" s="9"/>
      <c r="I16" s="9" t="s">
        <v>272</v>
      </c>
      <c r="J16" s="9" t="s">
        <v>43</v>
      </c>
      <c r="K16" s="9" t="s">
        <v>226</v>
      </c>
      <c r="L16" s="9" t="s">
        <v>225</v>
      </c>
      <c r="M16" s="9" t="s">
        <v>226</v>
      </c>
      <c r="N16" s="9"/>
      <c r="O16" s="22" t="s">
        <v>272</v>
      </c>
      <c r="P16" s="23" t="s">
        <v>43</v>
      </c>
      <c r="Q16" s="23" t="s">
        <v>226</v>
      </c>
      <c r="R16" s="23" t="s">
        <v>225</v>
      </c>
      <c r="S16" s="24" t="s">
        <v>226</v>
      </c>
    </row>
    <row r="17" spans="1:19" ht="15.75" hidden="1" customHeight="1" x14ac:dyDescent="0.2">
      <c r="A17" s="9"/>
      <c r="B17" s="10"/>
      <c r="C17" s="9"/>
      <c r="D17" s="9"/>
      <c r="E17" s="14" t="s">
        <v>273</v>
      </c>
      <c r="F17" s="15" t="s">
        <v>274</v>
      </c>
      <c r="G17" s="16" t="s">
        <v>223</v>
      </c>
      <c r="H17" s="9"/>
      <c r="I17" s="9" t="s">
        <v>275</v>
      </c>
      <c r="J17" s="9" t="s">
        <v>43</v>
      </c>
      <c r="K17" s="9" t="s">
        <v>226</v>
      </c>
      <c r="L17" s="9" t="s">
        <v>225</v>
      </c>
      <c r="M17" s="9" t="s">
        <v>226</v>
      </c>
      <c r="N17" s="9"/>
      <c r="O17" s="22" t="s">
        <v>275</v>
      </c>
      <c r="P17" s="23" t="s">
        <v>43</v>
      </c>
      <c r="Q17" s="23" t="s">
        <v>226</v>
      </c>
      <c r="R17" s="23" t="s">
        <v>225</v>
      </c>
      <c r="S17" s="24" t="s">
        <v>226</v>
      </c>
    </row>
    <row r="18" spans="1:19" ht="15.75" hidden="1" customHeight="1" x14ac:dyDescent="0.2">
      <c r="A18" s="9"/>
      <c r="B18" s="10"/>
      <c r="C18" s="9"/>
      <c r="D18" s="9"/>
      <c r="E18" s="14" t="s">
        <v>276</v>
      </c>
      <c r="F18" s="15" t="s">
        <v>277</v>
      </c>
      <c r="G18" s="16" t="s">
        <v>223</v>
      </c>
      <c r="H18" s="9"/>
      <c r="I18" s="9" t="s">
        <v>278</v>
      </c>
      <c r="J18" s="9" t="s">
        <v>43</v>
      </c>
      <c r="K18" s="9" t="s">
        <v>226</v>
      </c>
      <c r="L18" s="9" t="s">
        <v>225</v>
      </c>
      <c r="M18" s="9" t="s">
        <v>226</v>
      </c>
      <c r="N18" s="9"/>
      <c r="O18" s="22" t="s">
        <v>278</v>
      </c>
      <c r="P18" s="23" t="s">
        <v>43</v>
      </c>
      <c r="Q18" s="23" t="s">
        <v>226</v>
      </c>
      <c r="R18" s="23" t="s">
        <v>225</v>
      </c>
      <c r="S18" s="24" t="s">
        <v>226</v>
      </c>
    </row>
    <row r="19" spans="1:19" ht="15.75" hidden="1" customHeight="1" x14ac:dyDescent="0.2">
      <c r="A19" s="9"/>
      <c r="B19" s="10"/>
      <c r="C19" s="9"/>
      <c r="D19" s="9"/>
      <c r="E19" s="14" t="s">
        <v>279</v>
      </c>
      <c r="F19" s="15" t="s">
        <v>280</v>
      </c>
      <c r="G19" s="16" t="s">
        <v>223</v>
      </c>
      <c r="H19" s="9"/>
      <c r="I19" s="9" t="s">
        <v>281</v>
      </c>
      <c r="J19" s="9" t="s">
        <v>43</v>
      </c>
      <c r="K19" s="9" t="s">
        <v>225</v>
      </c>
      <c r="L19" s="9" t="s">
        <v>225</v>
      </c>
      <c r="M19" s="9" t="s">
        <v>225</v>
      </c>
      <c r="N19" s="9"/>
      <c r="O19" s="22" t="s">
        <v>281</v>
      </c>
      <c r="P19" s="23" t="s">
        <v>43</v>
      </c>
      <c r="Q19" s="23" t="s">
        <v>225</v>
      </c>
      <c r="R19" s="23" t="s">
        <v>225</v>
      </c>
      <c r="S19" s="24" t="s">
        <v>225</v>
      </c>
    </row>
    <row r="20" spans="1:19" ht="15.75" hidden="1" customHeight="1" x14ac:dyDescent="0.2">
      <c r="A20" s="9"/>
      <c r="B20" s="10"/>
      <c r="C20" s="9"/>
      <c r="D20" s="9"/>
      <c r="E20" s="14" t="s">
        <v>282</v>
      </c>
      <c r="F20" s="15" t="s">
        <v>283</v>
      </c>
      <c r="G20" s="16" t="s">
        <v>223</v>
      </c>
      <c r="H20" s="9"/>
      <c r="I20" s="9" t="s">
        <v>284</v>
      </c>
      <c r="J20" s="9" t="s">
        <v>43</v>
      </c>
      <c r="K20" s="9" t="s">
        <v>226</v>
      </c>
      <c r="L20" s="9" t="s">
        <v>225</v>
      </c>
      <c r="M20" s="9" t="s">
        <v>225</v>
      </c>
      <c r="N20" s="9"/>
      <c r="O20" s="22" t="s">
        <v>284</v>
      </c>
      <c r="P20" s="23" t="s">
        <v>43</v>
      </c>
      <c r="Q20" s="23" t="s">
        <v>226</v>
      </c>
      <c r="R20" s="23" t="s">
        <v>225</v>
      </c>
      <c r="S20" s="24" t="s">
        <v>225</v>
      </c>
    </row>
    <row r="21" spans="1:19" ht="15.75" hidden="1" customHeight="1" x14ac:dyDescent="0.2">
      <c r="A21" s="9"/>
      <c r="B21" s="10"/>
      <c r="C21" s="9"/>
      <c r="D21" s="9"/>
      <c r="E21" s="14" t="s">
        <v>285</v>
      </c>
      <c r="F21" s="15" t="s">
        <v>286</v>
      </c>
      <c r="G21" s="16" t="s">
        <v>223</v>
      </c>
      <c r="H21" s="9"/>
      <c r="I21" s="9" t="s">
        <v>287</v>
      </c>
      <c r="J21" s="9" t="s">
        <v>43</v>
      </c>
      <c r="K21" s="9" t="s">
        <v>226</v>
      </c>
      <c r="L21" s="9" t="s">
        <v>225</v>
      </c>
      <c r="M21" s="9" t="s">
        <v>225</v>
      </c>
      <c r="N21" s="9"/>
      <c r="O21" s="22" t="s">
        <v>287</v>
      </c>
      <c r="P21" s="23" t="s">
        <v>43</v>
      </c>
      <c r="Q21" s="23" t="s">
        <v>226</v>
      </c>
      <c r="R21" s="23" t="s">
        <v>225</v>
      </c>
      <c r="S21" s="24" t="s">
        <v>225</v>
      </c>
    </row>
    <row r="22" spans="1:19" ht="15.75" hidden="1" customHeight="1" x14ac:dyDescent="0.2">
      <c r="A22" s="9"/>
      <c r="B22" s="10"/>
      <c r="C22" s="9"/>
      <c r="D22" s="9"/>
      <c r="E22" s="14" t="s">
        <v>288</v>
      </c>
      <c r="F22" s="15" t="s">
        <v>289</v>
      </c>
      <c r="G22" s="16" t="s">
        <v>236</v>
      </c>
      <c r="H22" s="9"/>
      <c r="I22" s="9" t="s">
        <v>290</v>
      </c>
      <c r="J22" s="9" t="s">
        <v>43</v>
      </c>
      <c r="K22" s="9" t="s">
        <v>226</v>
      </c>
      <c r="L22" s="9" t="s">
        <v>225</v>
      </c>
      <c r="M22" s="9" t="s">
        <v>225</v>
      </c>
      <c r="N22" s="9"/>
      <c r="O22" s="22" t="s">
        <v>290</v>
      </c>
      <c r="P22" s="23" t="s">
        <v>43</v>
      </c>
      <c r="Q22" s="23" t="s">
        <v>226</v>
      </c>
      <c r="R22" s="23" t="s">
        <v>225</v>
      </c>
      <c r="S22" s="24" t="s">
        <v>225</v>
      </c>
    </row>
    <row r="23" spans="1:19" ht="15.75" hidden="1" customHeight="1" x14ac:dyDescent="0.2">
      <c r="A23" s="9"/>
      <c r="B23" s="10"/>
      <c r="C23" s="9"/>
      <c r="D23" s="9"/>
      <c r="E23" s="14" t="s">
        <v>291</v>
      </c>
      <c r="F23" s="15" t="s">
        <v>292</v>
      </c>
      <c r="G23" s="16" t="s">
        <v>293</v>
      </c>
      <c r="H23" s="9"/>
      <c r="I23" s="9" t="s">
        <v>294</v>
      </c>
      <c r="J23" s="9" t="s">
        <v>43</v>
      </c>
      <c r="K23" s="9" t="s">
        <v>225</v>
      </c>
      <c r="L23" s="9" t="s">
        <v>225</v>
      </c>
      <c r="M23" s="9" t="s">
        <v>225</v>
      </c>
      <c r="N23" s="9"/>
      <c r="O23" s="22" t="s">
        <v>294</v>
      </c>
      <c r="P23" s="23" t="s">
        <v>43</v>
      </c>
      <c r="Q23" s="23" t="s">
        <v>225</v>
      </c>
      <c r="R23" s="23" t="s">
        <v>225</v>
      </c>
      <c r="S23" s="24" t="s">
        <v>225</v>
      </c>
    </row>
    <row r="24" spans="1:19" ht="15.75" hidden="1" customHeight="1" x14ac:dyDescent="0.2">
      <c r="A24" s="9"/>
      <c r="B24" s="10"/>
      <c r="C24" s="9"/>
      <c r="D24" s="9"/>
      <c r="E24" s="14" t="s">
        <v>295</v>
      </c>
      <c r="F24" s="15" t="s">
        <v>296</v>
      </c>
      <c r="G24" s="16" t="s">
        <v>297</v>
      </c>
      <c r="H24" s="9"/>
      <c r="I24" s="9" t="s">
        <v>298</v>
      </c>
      <c r="J24" s="9" t="s">
        <v>43</v>
      </c>
      <c r="K24" s="9" t="s">
        <v>225</v>
      </c>
      <c r="L24" s="9" t="s">
        <v>225</v>
      </c>
      <c r="M24" s="9" t="s">
        <v>225</v>
      </c>
      <c r="N24" s="9"/>
      <c r="O24" s="22" t="s">
        <v>298</v>
      </c>
      <c r="P24" s="23" t="s">
        <v>43</v>
      </c>
      <c r="Q24" s="23" t="s">
        <v>225</v>
      </c>
      <c r="R24" s="23" t="s">
        <v>225</v>
      </c>
      <c r="S24" s="24" t="s">
        <v>225</v>
      </c>
    </row>
    <row r="25" spans="1:19" ht="15.75" hidden="1" customHeight="1" x14ac:dyDescent="0.2">
      <c r="A25" s="9"/>
      <c r="B25" s="10"/>
      <c r="C25" s="9"/>
      <c r="D25" s="9"/>
      <c r="E25" s="14" t="s">
        <v>299</v>
      </c>
      <c r="F25" s="15" t="s">
        <v>300</v>
      </c>
      <c r="G25" s="16" t="s">
        <v>236</v>
      </c>
      <c r="H25" s="9"/>
      <c r="I25" s="9" t="s">
        <v>301</v>
      </c>
      <c r="J25" s="9" t="s">
        <v>43</v>
      </c>
      <c r="K25" s="9" t="s">
        <v>225</v>
      </c>
      <c r="L25" s="9" t="s">
        <v>225</v>
      </c>
      <c r="M25" s="9" t="s">
        <v>225</v>
      </c>
      <c r="N25" s="9"/>
      <c r="O25" s="22" t="s">
        <v>301</v>
      </c>
      <c r="P25" s="23" t="s">
        <v>43</v>
      </c>
      <c r="Q25" s="23" t="s">
        <v>225</v>
      </c>
      <c r="R25" s="23" t="s">
        <v>225</v>
      </c>
      <c r="S25" s="24" t="s">
        <v>225</v>
      </c>
    </row>
    <row r="26" spans="1:19" ht="15.75" hidden="1" customHeight="1" x14ac:dyDescent="0.2">
      <c r="A26" s="9"/>
      <c r="B26" s="10"/>
      <c r="C26" s="9"/>
      <c r="D26" s="9"/>
      <c r="E26" s="14" t="s">
        <v>302</v>
      </c>
      <c r="F26" s="15" t="s">
        <v>303</v>
      </c>
      <c r="G26" s="16" t="s">
        <v>304</v>
      </c>
      <c r="H26" s="9"/>
      <c r="I26" s="9" t="s">
        <v>305</v>
      </c>
      <c r="J26" s="9" t="s">
        <v>43</v>
      </c>
      <c r="K26" s="9" t="s">
        <v>225</v>
      </c>
      <c r="L26" s="9" t="s">
        <v>225</v>
      </c>
      <c r="M26" s="9" t="s">
        <v>225</v>
      </c>
      <c r="N26" s="9"/>
      <c r="O26" s="22" t="s">
        <v>305</v>
      </c>
      <c r="P26" s="23" t="s">
        <v>43</v>
      </c>
      <c r="Q26" s="23" t="s">
        <v>225</v>
      </c>
      <c r="R26" s="23" t="s">
        <v>225</v>
      </c>
      <c r="S26" s="24" t="s">
        <v>225</v>
      </c>
    </row>
    <row r="27" spans="1:19" ht="15.75" hidden="1" customHeight="1" x14ac:dyDescent="0.2">
      <c r="A27" s="9"/>
      <c r="B27" s="10"/>
      <c r="C27" s="9"/>
      <c r="D27" s="9"/>
      <c r="E27" s="14" t="s">
        <v>306</v>
      </c>
      <c r="F27" s="15" t="s">
        <v>307</v>
      </c>
      <c r="G27" s="16" t="s">
        <v>308</v>
      </c>
      <c r="H27" s="9"/>
      <c r="I27" s="9" t="s">
        <v>309</v>
      </c>
      <c r="J27" s="9" t="s">
        <v>43</v>
      </c>
      <c r="K27" s="9" t="s">
        <v>225</v>
      </c>
      <c r="L27" s="9" t="s">
        <v>225</v>
      </c>
      <c r="M27" s="9" t="s">
        <v>225</v>
      </c>
      <c r="N27" s="9"/>
      <c r="O27" s="22" t="s">
        <v>309</v>
      </c>
      <c r="P27" s="23" t="s">
        <v>43</v>
      </c>
      <c r="Q27" s="23" t="s">
        <v>225</v>
      </c>
      <c r="R27" s="23" t="s">
        <v>225</v>
      </c>
      <c r="S27" s="24" t="s">
        <v>225</v>
      </c>
    </row>
    <row r="28" spans="1:19" ht="15.75" hidden="1" customHeight="1" x14ac:dyDescent="0.2">
      <c r="A28" s="9"/>
      <c r="B28" s="10"/>
      <c r="C28" s="9"/>
      <c r="D28" s="9"/>
      <c r="E28" s="14" t="s">
        <v>310</v>
      </c>
      <c r="F28" s="31" t="s">
        <v>230</v>
      </c>
      <c r="G28" s="32" t="s">
        <v>223</v>
      </c>
      <c r="H28" s="9"/>
      <c r="I28" s="9" t="s">
        <v>311</v>
      </c>
      <c r="J28" s="9" t="s">
        <v>43</v>
      </c>
      <c r="K28" s="9" t="s">
        <v>225</v>
      </c>
      <c r="L28" s="9" t="s">
        <v>225</v>
      </c>
      <c r="M28" s="9" t="s">
        <v>225</v>
      </c>
      <c r="N28" s="9"/>
      <c r="O28" s="22" t="s">
        <v>311</v>
      </c>
      <c r="P28" s="23" t="s">
        <v>43</v>
      </c>
      <c r="Q28" s="23" t="s">
        <v>225</v>
      </c>
      <c r="R28" s="23" t="s">
        <v>225</v>
      </c>
      <c r="S28" s="24" t="s">
        <v>225</v>
      </c>
    </row>
    <row r="29" spans="1:19" ht="15.75" hidden="1" customHeight="1" x14ac:dyDescent="0.2">
      <c r="A29" s="9"/>
      <c r="B29" s="10"/>
      <c r="C29" s="9"/>
      <c r="D29" s="9"/>
      <c r="E29" s="14" t="s">
        <v>312</v>
      </c>
      <c r="F29" s="15" t="s">
        <v>230</v>
      </c>
      <c r="G29" s="16" t="s">
        <v>223</v>
      </c>
      <c r="H29" s="9"/>
      <c r="I29" s="9" t="s">
        <v>313</v>
      </c>
      <c r="J29" s="9" t="s">
        <v>43</v>
      </c>
      <c r="K29" s="9" t="s">
        <v>226</v>
      </c>
      <c r="L29" s="9" t="s">
        <v>225</v>
      </c>
      <c r="M29" s="9" t="s">
        <v>225</v>
      </c>
      <c r="N29" s="9"/>
      <c r="O29" s="22" t="s">
        <v>313</v>
      </c>
      <c r="P29" s="23" t="s">
        <v>43</v>
      </c>
      <c r="Q29" s="23" t="s">
        <v>226</v>
      </c>
      <c r="R29" s="23" t="s">
        <v>225</v>
      </c>
      <c r="S29" s="24" t="s">
        <v>225</v>
      </c>
    </row>
    <row r="30" spans="1:19" ht="15.75" hidden="1" customHeight="1" x14ac:dyDescent="0.2">
      <c r="A30" s="9"/>
      <c r="B30" s="10"/>
      <c r="C30" s="9"/>
      <c r="D30" s="9"/>
      <c r="E30" s="14" t="s">
        <v>314</v>
      </c>
      <c r="F30" s="15" t="s">
        <v>315</v>
      </c>
      <c r="G30" s="16" t="s">
        <v>316</v>
      </c>
      <c r="H30" s="9"/>
      <c r="I30" s="9" t="s">
        <v>317</v>
      </c>
      <c r="J30" s="9" t="s">
        <v>43</v>
      </c>
      <c r="K30" s="9" t="s">
        <v>226</v>
      </c>
      <c r="L30" s="9" t="s">
        <v>225</v>
      </c>
      <c r="M30" s="9" t="s">
        <v>225</v>
      </c>
      <c r="N30" s="9"/>
      <c r="O30" s="22" t="s">
        <v>317</v>
      </c>
      <c r="P30" s="23" t="s">
        <v>43</v>
      </c>
      <c r="Q30" s="23" t="s">
        <v>226</v>
      </c>
      <c r="R30" s="23" t="s">
        <v>225</v>
      </c>
      <c r="S30" s="24" t="s">
        <v>225</v>
      </c>
    </row>
    <row r="31" spans="1:19" ht="15.75" hidden="1" customHeight="1" x14ac:dyDescent="0.2">
      <c r="A31" s="9"/>
      <c r="B31" s="10"/>
      <c r="C31" s="9"/>
      <c r="D31" s="9"/>
      <c r="E31" s="14" t="s">
        <v>318</v>
      </c>
      <c r="F31" s="15" t="s">
        <v>319</v>
      </c>
      <c r="G31" s="16" t="s">
        <v>223</v>
      </c>
      <c r="H31" s="9"/>
      <c r="I31" s="9" t="s">
        <v>320</v>
      </c>
      <c r="J31" s="9" t="s">
        <v>43</v>
      </c>
      <c r="K31" s="9" t="s">
        <v>226</v>
      </c>
      <c r="L31" s="9" t="s">
        <v>225</v>
      </c>
      <c r="M31" s="9" t="s">
        <v>225</v>
      </c>
      <c r="N31" s="9"/>
      <c r="O31" s="22" t="s">
        <v>320</v>
      </c>
      <c r="P31" s="23" t="s">
        <v>43</v>
      </c>
      <c r="Q31" s="23" t="s">
        <v>226</v>
      </c>
      <c r="R31" s="23" t="s">
        <v>225</v>
      </c>
      <c r="S31" s="24" t="s">
        <v>225</v>
      </c>
    </row>
    <row r="32" spans="1:19" ht="15.75" hidden="1" customHeight="1" x14ac:dyDescent="0.2">
      <c r="A32" s="9"/>
      <c r="B32" s="10"/>
      <c r="C32" s="9"/>
      <c r="D32" s="9"/>
      <c r="E32" s="14" t="s">
        <v>321</v>
      </c>
      <c r="F32" s="15" t="s">
        <v>322</v>
      </c>
      <c r="G32" s="16" t="s">
        <v>223</v>
      </c>
      <c r="H32" s="9"/>
      <c r="I32" s="9" t="s">
        <v>323</v>
      </c>
      <c r="J32" s="9" t="s">
        <v>43</v>
      </c>
      <c r="K32" s="9" t="s">
        <v>226</v>
      </c>
      <c r="L32" s="9" t="s">
        <v>225</v>
      </c>
      <c r="M32" s="9" t="s">
        <v>225</v>
      </c>
      <c r="N32" s="9"/>
      <c r="O32" s="22" t="s">
        <v>323</v>
      </c>
      <c r="P32" s="23" t="s">
        <v>43</v>
      </c>
      <c r="Q32" s="23" t="s">
        <v>226</v>
      </c>
      <c r="R32" s="23" t="s">
        <v>225</v>
      </c>
      <c r="S32" s="24" t="s">
        <v>225</v>
      </c>
    </row>
    <row r="33" spans="1:19" ht="15.75" hidden="1" customHeight="1" x14ac:dyDescent="0.2">
      <c r="A33" s="9"/>
      <c r="B33" s="10"/>
      <c r="C33" s="9"/>
      <c r="D33" s="9"/>
      <c r="E33" s="14" t="s">
        <v>324</v>
      </c>
      <c r="F33" s="15" t="s">
        <v>325</v>
      </c>
      <c r="G33" s="16" t="s">
        <v>326</v>
      </c>
      <c r="H33" s="9"/>
      <c r="I33" s="9" t="s">
        <v>327</v>
      </c>
      <c r="J33" s="9" t="s">
        <v>43</v>
      </c>
      <c r="K33" s="9" t="s">
        <v>226</v>
      </c>
      <c r="L33" s="9" t="s">
        <v>225</v>
      </c>
      <c r="M33" s="9" t="s">
        <v>225</v>
      </c>
      <c r="N33" s="9"/>
      <c r="O33" s="22" t="s">
        <v>327</v>
      </c>
      <c r="P33" s="23" t="s">
        <v>43</v>
      </c>
      <c r="Q33" s="23" t="s">
        <v>226</v>
      </c>
      <c r="R33" s="23" t="s">
        <v>225</v>
      </c>
      <c r="S33" s="24" t="s">
        <v>225</v>
      </c>
    </row>
    <row r="34" spans="1:19" ht="15.75" hidden="1" customHeight="1" x14ac:dyDescent="0.2">
      <c r="A34" s="9"/>
      <c r="B34" s="10"/>
      <c r="C34" s="9"/>
      <c r="D34" s="9"/>
      <c r="E34" s="14" t="s">
        <v>328</v>
      </c>
      <c r="F34" s="15" t="s">
        <v>329</v>
      </c>
      <c r="G34" s="16" t="s">
        <v>330</v>
      </c>
      <c r="H34" s="9"/>
      <c r="I34" s="9" t="s">
        <v>331</v>
      </c>
      <c r="J34" s="9" t="s">
        <v>43</v>
      </c>
      <c r="K34" s="9" t="s">
        <v>225</v>
      </c>
      <c r="L34" s="9" t="s">
        <v>225</v>
      </c>
      <c r="M34" s="9" t="s">
        <v>225</v>
      </c>
      <c r="N34" s="9"/>
      <c r="O34" s="22" t="s">
        <v>331</v>
      </c>
      <c r="P34" s="23" t="s">
        <v>43</v>
      </c>
      <c r="Q34" s="23" t="s">
        <v>225</v>
      </c>
      <c r="R34" s="23" t="s">
        <v>225</v>
      </c>
      <c r="S34" s="24" t="s">
        <v>225</v>
      </c>
    </row>
    <row r="35" spans="1:19" ht="15.75" customHeight="1" x14ac:dyDescent="0.2">
      <c r="A35" s="9"/>
      <c r="B35" s="10"/>
      <c r="C35" s="9"/>
      <c r="D35" s="9"/>
      <c r="E35" s="14" t="s">
        <v>332</v>
      </c>
      <c r="F35" s="15" t="s">
        <v>333</v>
      </c>
      <c r="G35" s="16" t="s">
        <v>334</v>
      </c>
      <c r="H35" s="9"/>
      <c r="I35" s="9" t="s">
        <v>335</v>
      </c>
      <c r="J35" s="9" t="s">
        <v>43</v>
      </c>
      <c r="K35" s="9" t="s">
        <v>226</v>
      </c>
      <c r="L35" s="9" t="s">
        <v>225</v>
      </c>
      <c r="M35" s="9" t="s">
        <v>225</v>
      </c>
      <c r="N35" s="9"/>
      <c r="O35" s="22" t="s">
        <v>335</v>
      </c>
      <c r="P35" s="23" t="s">
        <v>43</v>
      </c>
      <c r="Q35" s="23" t="s">
        <v>226</v>
      </c>
      <c r="R35" s="23" t="s">
        <v>225</v>
      </c>
      <c r="S35" s="24" t="s">
        <v>225</v>
      </c>
    </row>
    <row r="36" spans="1:19" ht="15.75" hidden="1" customHeight="1" x14ac:dyDescent="0.2">
      <c r="A36" s="9"/>
      <c r="B36" s="10"/>
      <c r="C36" s="9"/>
      <c r="D36" s="9"/>
      <c r="E36" s="33" t="s">
        <v>336</v>
      </c>
      <c r="F36" s="34" t="s">
        <v>337</v>
      </c>
      <c r="G36" s="35" t="s">
        <v>223</v>
      </c>
      <c r="H36" s="9"/>
      <c r="I36" s="9" t="s">
        <v>338</v>
      </c>
      <c r="J36" s="9" t="s">
        <v>43</v>
      </c>
      <c r="K36" s="9" t="s">
        <v>225</v>
      </c>
      <c r="L36" s="9" t="s">
        <v>225</v>
      </c>
      <c r="M36" s="9" t="s">
        <v>226</v>
      </c>
      <c r="N36" s="9"/>
      <c r="O36" s="22" t="s">
        <v>338</v>
      </c>
      <c r="P36" s="23" t="s">
        <v>43</v>
      </c>
      <c r="Q36" s="23" t="s">
        <v>225</v>
      </c>
      <c r="R36" s="23" t="s">
        <v>225</v>
      </c>
      <c r="S36" s="24" t="s">
        <v>226</v>
      </c>
    </row>
    <row r="37" spans="1:19" ht="15.75" hidden="1" customHeight="1" x14ac:dyDescent="0.2">
      <c r="A37" s="9"/>
      <c r="B37" s="10"/>
      <c r="C37" s="9"/>
      <c r="D37" s="9"/>
      <c r="E37" s="33" t="s">
        <v>126</v>
      </c>
      <c r="F37" s="34" t="s">
        <v>339</v>
      </c>
      <c r="G37" s="35" t="s">
        <v>223</v>
      </c>
      <c r="H37" s="9"/>
      <c r="I37" s="9" t="s">
        <v>340</v>
      </c>
      <c r="J37" s="9" t="s">
        <v>43</v>
      </c>
      <c r="K37" s="9" t="s">
        <v>225</v>
      </c>
      <c r="L37" s="9" t="s">
        <v>225</v>
      </c>
      <c r="M37" s="9" t="s">
        <v>225</v>
      </c>
      <c r="N37" s="9"/>
      <c r="O37" s="22" t="s">
        <v>340</v>
      </c>
      <c r="P37" s="23" t="s">
        <v>43</v>
      </c>
      <c r="Q37" s="23" t="s">
        <v>225</v>
      </c>
      <c r="R37" s="23" t="s">
        <v>225</v>
      </c>
      <c r="S37" s="24" t="s">
        <v>225</v>
      </c>
    </row>
    <row r="38" spans="1:19" ht="15.75" hidden="1" customHeight="1" x14ac:dyDescent="0.2">
      <c r="A38" s="9"/>
      <c r="B38" s="10"/>
      <c r="C38" s="9"/>
      <c r="D38" s="9"/>
      <c r="E38" s="33" t="s">
        <v>341</v>
      </c>
      <c r="F38" s="34" t="s">
        <v>342</v>
      </c>
      <c r="G38" s="35" t="s">
        <v>223</v>
      </c>
      <c r="H38" s="9"/>
      <c r="I38" s="9" t="s">
        <v>343</v>
      </c>
      <c r="J38" s="9" t="s">
        <v>43</v>
      </c>
      <c r="K38" s="9" t="s">
        <v>225</v>
      </c>
      <c r="L38" s="9" t="s">
        <v>225</v>
      </c>
      <c r="M38" s="9" t="s">
        <v>226</v>
      </c>
      <c r="N38" s="9"/>
      <c r="O38" s="22" t="s">
        <v>343</v>
      </c>
      <c r="P38" s="23" t="s">
        <v>43</v>
      </c>
      <c r="Q38" s="23" t="s">
        <v>225</v>
      </c>
      <c r="R38" s="23" t="s">
        <v>225</v>
      </c>
      <c r="S38" s="24" t="s">
        <v>226</v>
      </c>
    </row>
    <row r="39" spans="1:19" ht="15.75" hidden="1" customHeight="1" x14ac:dyDescent="0.2">
      <c r="A39" s="9"/>
      <c r="B39" s="10"/>
      <c r="C39" s="9"/>
      <c r="D39" s="9"/>
      <c r="E39" s="33" t="s">
        <v>344</v>
      </c>
      <c r="F39" s="34" t="s">
        <v>345</v>
      </c>
      <c r="G39" s="35" t="s">
        <v>223</v>
      </c>
      <c r="H39" s="9"/>
      <c r="I39" s="9" t="s">
        <v>346</v>
      </c>
      <c r="J39" s="9" t="s">
        <v>43</v>
      </c>
      <c r="K39" s="9" t="s">
        <v>225</v>
      </c>
      <c r="L39" s="9" t="s">
        <v>225</v>
      </c>
      <c r="M39" s="9" t="s">
        <v>225</v>
      </c>
      <c r="N39" s="9"/>
      <c r="O39" s="22" t="s">
        <v>346</v>
      </c>
      <c r="P39" s="23" t="s">
        <v>43</v>
      </c>
      <c r="Q39" s="23" t="s">
        <v>225</v>
      </c>
      <c r="R39" s="23" t="s">
        <v>225</v>
      </c>
      <c r="S39" s="24" t="s">
        <v>225</v>
      </c>
    </row>
    <row r="40" spans="1:19" ht="15.75" hidden="1" customHeight="1" x14ac:dyDescent="0.2">
      <c r="A40" s="9"/>
      <c r="B40" s="10"/>
      <c r="C40" s="9"/>
      <c r="D40" s="9"/>
      <c r="E40" s="33" t="s">
        <v>347</v>
      </c>
      <c r="F40" s="34" t="s">
        <v>348</v>
      </c>
      <c r="G40" s="35" t="s">
        <v>349</v>
      </c>
      <c r="H40" s="9"/>
      <c r="I40" s="9" t="s">
        <v>350</v>
      </c>
      <c r="J40" s="9" t="s">
        <v>43</v>
      </c>
      <c r="K40" s="9" t="s">
        <v>225</v>
      </c>
      <c r="L40" s="9" t="s">
        <v>225</v>
      </c>
      <c r="M40" s="9" t="s">
        <v>226</v>
      </c>
      <c r="N40" s="9"/>
      <c r="O40" s="22" t="s">
        <v>350</v>
      </c>
      <c r="P40" s="23" t="s">
        <v>43</v>
      </c>
      <c r="Q40" s="23" t="s">
        <v>225</v>
      </c>
      <c r="R40" s="23" t="s">
        <v>225</v>
      </c>
      <c r="S40" s="24" t="s">
        <v>226</v>
      </c>
    </row>
    <row r="41" spans="1:19" ht="15.75" hidden="1" customHeight="1" x14ac:dyDescent="0.2">
      <c r="A41" s="9"/>
      <c r="B41" s="10"/>
      <c r="C41" s="9"/>
      <c r="D41" s="9"/>
      <c r="E41" s="33" t="s">
        <v>351</v>
      </c>
      <c r="F41" s="34" t="s">
        <v>352</v>
      </c>
      <c r="G41" s="35" t="s">
        <v>353</v>
      </c>
      <c r="H41" s="9"/>
      <c r="I41" s="9" t="s">
        <v>354</v>
      </c>
      <c r="J41" s="9" t="s">
        <v>43</v>
      </c>
      <c r="K41" s="9" t="s">
        <v>226</v>
      </c>
      <c r="L41" s="9" t="s">
        <v>225</v>
      </c>
      <c r="M41" s="9" t="s">
        <v>226</v>
      </c>
      <c r="N41" s="9"/>
      <c r="O41" s="22" t="s">
        <v>354</v>
      </c>
      <c r="P41" s="23" t="s">
        <v>43</v>
      </c>
      <c r="Q41" s="23" t="s">
        <v>226</v>
      </c>
      <c r="R41" s="23" t="s">
        <v>225</v>
      </c>
      <c r="S41" s="24" t="s">
        <v>226</v>
      </c>
    </row>
    <row r="42" spans="1:19" ht="15.75" hidden="1" customHeight="1" x14ac:dyDescent="0.2">
      <c r="A42" s="9"/>
      <c r="B42" s="10"/>
      <c r="C42" s="9"/>
      <c r="D42" s="9"/>
      <c r="E42" s="33" t="s">
        <v>355</v>
      </c>
      <c r="F42" s="34" t="s">
        <v>356</v>
      </c>
      <c r="G42" s="35" t="s">
        <v>349</v>
      </c>
      <c r="H42" s="9"/>
      <c r="I42" s="9" t="s">
        <v>357</v>
      </c>
      <c r="J42" s="9" t="s">
        <v>43</v>
      </c>
      <c r="K42" s="9" t="s">
        <v>225</v>
      </c>
      <c r="L42" s="9" t="s">
        <v>225</v>
      </c>
      <c r="M42" s="9" t="s">
        <v>226</v>
      </c>
      <c r="N42" s="9"/>
      <c r="O42" s="22" t="s">
        <v>357</v>
      </c>
      <c r="P42" s="23" t="s">
        <v>43</v>
      </c>
      <c r="Q42" s="23" t="s">
        <v>225</v>
      </c>
      <c r="R42" s="23" t="s">
        <v>225</v>
      </c>
      <c r="S42" s="24" t="s">
        <v>226</v>
      </c>
    </row>
    <row r="43" spans="1:19" ht="15.75" hidden="1" customHeight="1" x14ac:dyDescent="0.2">
      <c r="A43" s="9"/>
      <c r="B43" s="10"/>
      <c r="C43" s="9"/>
      <c r="D43" s="9"/>
      <c r="E43" s="33" t="s">
        <v>358</v>
      </c>
      <c r="F43" s="34" t="s">
        <v>359</v>
      </c>
      <c r="G43" s="35" t="s">
        <v>360</v>
      </c>
      <c r="H43" s="9"/>
      <c r="I43" s="9" t="s">
        <v>361</v>
      </c>
      <c r="J43" s="9" t="s">
        <v>43</v>
      </c>
      <c r="K43" s="9" t="s">
        <v>225</v>
      </c>
      <c r="L43" s="9" t="s">
        <v>225</v>
      </c>
      <c r="M43" s="9" t="s">
        <v>226</v>
      </c>
      <c r="N43" s="9"/>
      <c r="O43" s="22" t="s">
        <v>361</v>
      </c>
      <c r="P43" s="23" t="s">
        <v>43</v>
      </c>
      <c r="Q43" s="23" t="s">
        <v>225</v>
      </c>
      <c r="R43" s="23" t="s">
        <v>225</v>
      </c>
      <c r="S43" s="24" t="s">
        <v>226</v>
      </c>
    </row>
    <row r="44" spans="1:19" ht="15.75" hidden="1" customHeight="1" x14ac:dyDescent="0.2">
      <c r="A44" s="9"/>
      <c r="B44" s="10"/>
      <c r="C44" s="9"/>
      <c r="D44" s="9"/>
      <c r="E44" s="33" t="s">
        <v>362</v>
      </c>
      <c r="F44" s="34" t="s">
        <v>363</v>
      </c>
      <c r="G44" s="35" t="s">
        <v>364</v>
      </c>
      <c r="H44" s="9"/>
      <c r="I44" s="9" t="s">
        <v>365</v>
      </c>
      <c r="J44" s="9" t="s">
        <v>43</v>
      </c>
      <c r="K44" s="9" t="s">
        <v>225</v>
      </c>
      <c r="L44" s="9" t="s">
        <v>225</v>
      </c>
      <c r="M44" s="9" t="s">
        <v>226</v>
      </c>
      <c r="N44" s="9"/>
      <c r="O44" s="22" t="s">
        <v>365</v>
      </c>
      <c r="P44" s="23" t="s">
        <v>43</v>
      </c>
      <c r="Q44" s="23" t="s">
        <v>225</v>
      </c>
      <c r="R44" s="23" t="s">
        <v>225</v>
      </c>
      <c r="S44" s="24" t="s">
        <v>226</v>
      </c>
    </row>
    <row r="45" spans="1:19" ht="15.75" hidden="1" customHeight="1" x14ac:dyDescent="0.2">
      <c r="A45" s="9"/>
      <c r="B45" s="10"/>
      <c r="C45" s="9"/>
      <c r="D45" s="9"/>
      <c r="E45" s="33" t="s">
        <v>141</v>
      </c>
      <c r="F45" s="34" t="s">
        <v>366</v>
      </c>
      <c r="G45" s="35" t="s">
        <v>349</v>
      </c>
      <c r="H45" s="9"/>
      <c r="I45" s="9" t="s">
        <v>367</v>
      </c>
      <c r="J45" s="9" t="s">
        <v>43</v>
      </c>
      <c r="K45" s="9" t="s">
        <v>225</v>
      </c>
      <c r="L45" s="9" t="s">
        <v>225</v>
      </c>
      <c r="M45" s="9" t="s">
        <v>225</v>
      </c>
      <c r="N45" s="9"/>
      <c r="O45" s="22" t="s">
        <v>367</v>
      </c>
      <c r="P45" s="23" t="s">
        <v>43</v>
      </c>
      <c r="Q45" s="23" t="s">
        <v>225</v>
      </c>
      <c r="R45" s="23" t="s">
        <v>225</v>
      </c>
      <c r="S45" s="24" t="s">
        <v>225</v>
      </c>
    </row>
    <row r="46" spans="1:19" ht="15.75" hidden="1" customHeight="1" x14ac:dyDescent="0.2">
      <c r="A46" s="9"/>
      <c r="B46" s="10"/>
      <c r="C46" s="9"/>
      <c r="D46" s="9"/>
      <c r="E46" s="33" t="s">
        <v>368</v>
      </c>
      <c r="F46" s="34" t="s">
        <v>369</v>
      </c>
      <c r="G46" s="35" t="s">
        <v>349</v>
      </c>
      <c r="H46" s="9"/>
      <c r="I46" s="9" t="s">
        <v>370</v>
      </c>
      <c r="J46" s="9" t="s">
        <v>43</v>
      </c>
      <c r="K46" s="9" t="s">
        <v>226</v>
      </c>
      <c r="L46" s="9" t="s">
        <v>225</v>
      </c>
      <c r="M46" s="9" t="s">
        <v>225</v>
      </c>
      <c r="N46" s="9"/>
      <c r="O46" s="22" t="s">
        <v>370</v>
      </c>
      <c r="P46" s="23" t="s">
        <v>43</v>
      </c>
      <c r="Q46" s="23" t="s">
        <v>226</v>
      </c>
      <c r="R46" s="23" t="s">
        <v>225</v>
      </c>
      <c r="S46" s="24" t="s">
        <v>225</v>
      </c>
    </row>
    <row r="47" spans="1:19" ht="15.75" hidden="1" customHeight="1" x14ac:dyDescent="0.2">
      <c r="A47" s="9"/>
      <c r="B47" s="10"/>
      <c r="C47" s="9"/>
      <c r="D47" s="9"/>
      <c r="E47" s="33" t="s">
        <v>371</v>
      </c>
      <c r="F47" s="34" t="s">
        <v>372</v>
      </c>
      <c r="G47" s="35" t="s">
        <v>223</v>
      </c>
      <c r="H47" s="9"/>
      <c r="I47" s="9" t="s">
        <v>373</v>
      </c>
      <c r="J47" s="9" t="s">
        <v>43</v>
      </c>
      <c r="K47" s="9" t="s">
        <v>225</v>
      </c>
      <c r="L47" s="9" t="s">
        <v>225</v>
      </c>
      <c r="M47" s="9" t="s">
        <v>226</v>
      </c>
      <c r="N47" s="9"/>
      <c r="O47" s="22" t="s">
        <v>373</v>
      </c>
      <c r="P47" s="23" t="s">
        <v>43</v>
      </c>
      <c r="Q47" s="23" t="s">
        <v>225</v>
      </c>
      <c r="R47" s="23" t="s">
        <v>225</v>
      </c>
      <c r="S47" s="24" t="s">
        <v>226</v>
      </c>
    </row>
    <row r="48" spans="1:19" ht="15.75" hidden="1" customHeight="1" x14ac:dyDescent="0.2">
      <c r="A48" s="9"/>
      <c r="B48" s="10"/>
      <c r="C48" s="9"/>
      <c r="D48" s="9"/>
      <c r="E48" s="33" t="s">
        <v>121</v>
      </c>
      <c r="F48" s="34" t="s">
        <v>374</v>
      </c>
      <c r="G48" s="35" t="s">
        <v>375</v>
      </c>
      <c r="H48" s="9"/>
      <c r="I48" s="9" t="s">
        <v>376</v>
      </c>
      <c r="J48" s="9" t="s">
        <v>43</v>
      </c>
      <c r="K48" s="9" t="s">
        <v>225</v>
      </c>
      <c r="L48" s="9" t="s">
        <v>225</v>
      </c>
      <c r="M48" s="9" t="s">
        <v>226</v>
      </c>
      <c r="N48" s="9"/>
      <c r="O48" s="22" t="s">
        <v>376</v>
      </c>
      <c r="P48" s="23" t="s">
        <v>43</v>
      </c>
      <c r="Q48" s="23" t="s">
        <v>225</v>
      </c>
      <c r="R48" s="23" t="s">
        <v>225</v>
      </c>
      <c r="S48" s="24" t="s">
        <v>226</v>
      </c>
    </row>
    <row r="49" spans="1:19" ht="15.75" hidden="1" customHeight="1" x14ac:dyDescent="0.2">
      <c r="A49" s="9"/>
      <c r="B49" s="10"/>
      <c r="C49" s="9"/>
      <c r="D49" s="9"/>
      <c r="E49" s="33" t="s">
        <v>377</v>
      </c>
      <c r="F49" s="34" t="s">
        <v>378</v>
      </c>
      <c r="G49" s="35" t="s">
        <v>349</v>
      </c>
      <c r="H49" s="9"/>
      <c r="I49" s="9" t="s">
        <v>379</v>
      </c>
      <c r="J49" s="9" t="s">
        <v>43</v>
      </c>
      <c r="K49" s="9" t="s">
        <v>225</v>
      </c>
      <c r="L49" s="9" t="s">
        <v>225</v>
      </c>
      <c r="M49" s="9" t="s">
        <v>226</v>
      </c>
      <c r="N49" s="9"/>
      <c r="O49" s="22" t="s">
        <v>379</v>
      </c>
      <c r="P49" s="23" t="s">
        <v>43</v>
      </c>
      <c r="Q49" s="23" t="s">
        <v>225</v>
      </c>
      <c r="R49" s="23" t="s">
        <v>225</v>
      </c>
      <c r="S49" s="24" t="s">
        <v>226</v>
      </c>
    </row>
    <row r="50" spans="1:19" ht="15.75" hidden="1" customHeight="1" x14ac:dyDescent="0.2">
      <c r="A50" s="9"/>
      <c r="B50" s="10"/>
      <c r="C50" s="9"/>
      <c r="D50" s="9"/>
      <c r="E50" s="33" t="s">
        <v>380</v>
      </c>
      <c r="F50" s="34" t="s">
        <v>381</v>
      </c>
      <c r="G50" s="35" t="s">
        <v>382</v>
      </c>
      <c r="H50" s="9"/>
      <c r="I50" s="9" t="s">
        <v>383</v>
      </c>
      <c r="J50" s="9" t="s">
        <v>43</v>
      </c>
      <c r="K50" s="9" t="s">
        <v>225</v>
      </c>
      <c r="L50" s="9" t="s">
        <v>225</v>
      </c>
      <c r="M50" s="9" t="s">
        <v>226</v>
      </c>
      <c r="N50" s="9"/>
      <c r="O50" s="22" t="s">
        <v>383</v>
      </c>
      <c r="P50" s="23" t="s">
        <v>43</v>
      </c>
      <c r="Q50" s="23" t="s">
        <v>225</v>
      </c>
      <c r="R50" s="23" t="s">
        <v>225</v>
      </c>
      <c r="S50" s="24" t="s">
        <v>226</v>
      </c>
    </row>
    <row r="51" spans="1:19" ht="15.75" hidden="1" customHeight="1" x14ac:dyDescent="0.2">
      <c r="A51" s="9"/>
      <c r="B51" s="10"/>
      <c r="C51" s="9"/>
      <c r="D51" s="9"/>
      <c r="E51" s="33" t="s">
        <v>133</v>
      </c>
      <c r="F51" s="34" t="s">
        <v>384</v>
      </c>
      <c r="G51" s="35" t="s">
        <v>385</v>
      </c>
      <c r="H51" s="9"/>
      <c r="I51" s="9" t="s">
        <v>386</v>
      </c>
      <c r="J51" s="9" t="s">
        <v>43</v>
      </c>
      <c r="K51" s="9" t="s">
        <v>225</v>
      </c>
      <c r="L51" s="9" t="s">
        <v>225</v>
      </c>
      <c r="M51" s="9" t="s">
        <v>226</v>
      </c>
      <c r="N51" s="9"/>
      <c r="O51" s="22" t="s">
        <v>386</v>
      </c>
      <c r="P51" s="23" t="s">
        <v>43</v>
      </c>
      <c r="Q51" s="23" t="s">
        <v>225</v>
      </c>
      <c r="R51" s="23" t="s">
        <v>225</v>
      </c>
      <c r="S51" s="24" t="s">
        <v>226</v>
      </c>
    </row>
    <row r="52" spans="1:19" ht="15.75" hidden="1" customHeight="1" x14ac:dyDescent="0.2">
      <c r="A52" s="9"/>
      <c r="B52" s="10"/>
      <c r="C52" s="9"/>
      <c r="D52" s="9"/>
      <c r="E52" s="33" t="s">
        <v>387</v>
      </c>
      <c r="F52" s="34" t="s">
        <v>388</v>
      </c>
      <c r="G52" s="35" t="s">
        <v>385</v>
      </c>
      <c r="H52" s="9"/>
      <c r="I52" s="9" t="s">
        <v>389</v>
      </c>
      <c r="J52" s="9" t="s">
        <v>43</v>
      </c>
      <c r="K52" s="9" t="s">
        <v>225</v>
      </c>
      <c r="L52" s="9" t="s">
        <v>225</v>
      </c>
      <c r="M52" s="9" t="s">
        <v>226</v>
      </c>
      <c r="N52" s="9"/>
      <c r="O52" s="22" t="s">
        <v>389</v>
      </c>
      <c r="P52" s="23" t="s">
        <v>43</v>
      </c>
      <c r="Q52" s="23" t="s">
        <v>225</v>
      </c>
      <c r="R52" s="23" t="s">
        <v>225</v>
      </c>
      <c r="S52" s="24" t="s">
        <v>226</v>
      </c>
    </row>
    <row r="53" spans="1:19" ht="15.75" hidden="1" customHeight="1" x14ac:dyDescent="0.2">
      <c r="A53" s="9"/>
      <c r="B53" s="10"/>
      <c r="C53" s="9"/>
      <c r="D53" s="9"/>
      <c r="E53" s="33" t="s">
        <v>390</v>
      </c>
      <c r="F53" s="34" t="s">
        <v>391</v>
      </c>
      <c r="G53" s="35" t="s">
        <v>385</v>
      </c>
      <c r="H53" s="9"/>
      <c r="I53" s="9" t="s">
        <v>392</v>
      </c>
      <c r="J53" s="9" t="s">
        <v>43</v>
      </c>
      <c r="K53" s="9" t="s">
        <v>225</v>
      </c>
      <c r="L53" s="9" t="s">
        <v>226</v>
      </c>
      <c r="M53" s="9" t="s">
        <v>225</v>
      </c>
      <c r="N53" s="9"/>
      <c r="O53" s="22" t="s">
        <v>392</v>
      </c>
      <c r="P53" s="23" t="s">
        <v>43</v>
      </c>
      <c r="Q53" s="23" t="s">
        <v>225</v>
      </c>
      <c r="R53" s="23" t="s">
        <v>226</v>
      </c>
      <c r="S53" s="24" t="s">
        <v>225</v>
      </c>
    </row>
    <row r="54" spans="1:19" ht="15.75" hidden="1" customHeight="1" x14ac:dyDescent="0.2">
      <c r="A54" s="9"/>
      <c r="B54" s="10"/>
      <c r="C54" s="9"/>
      <c r="D54" s="9"/>
      <c r="E54" s="33" t="s">
        <v>393</v>
      </c>
      <c r="F54" s="34" t="s">
        <v>394</v>
      </c>
      <c r="G54" s="35" t="s">
        <v>385</v>
      </c>
      <c r="H54" s="9"/>
      <c r="I54" s="9" t="s">
        <v>395</v>
      </c>
      <c r="J54" s="9" t="s">
        <v>43</v>
      </c>
      <c r="K54" s="9" t="s">
        <v>225</v>
      </c>
      <c r="L54" s="9" t="s">
        <v>225</v>
      </c>
      <c r="M54" s="9" t="s">
        <v>226</v>
      </c>
      <c r="N54" s="9"/>
      <c r="O54" s="22" t="s">
        <v>395</v>
      </c>
      <c r="P54" s="23" t="s">
        <v>43</v>
      </c>
      <c r="Q54" s="23" t="s">
        <v>225</v>
      </c>
      <c r="R54" s="23" t="s">
        <v>225</v>
      </c>
      <c r="S54" s="24" t="s">
        <v>226</v>
      </c>
    </row>
    <row r="55" spans="1:19" ht="15.75" hidden="1" customHeight="1" x14ac:dyDescent="0.2">
      <c r="A55" s="9"/>
      <c r="B55" s="10"/>
      <c r="C55" s="9"/>
      <c r="D55" s="9"/>
      <c r="E55" s="33" t="s">
        <v>396</v>
      </c>
      <c r="F55" s="34" t="s">
        <v>397</v>
      </c>
      <c r="G55" s="35" t="s">
        <v>385</v>
      </c>
      <c r="H55" s="9"/>
      <c r="I55" s="9" t="s">
        <v>398</v>
      </c>
      <c r="J55" s="9" t="s">
        <v>43</v>
      </c>
      <c r="K55" s="9" t="s">
        <v>225</v>
      </c>
      <c r="L55" s="9" t="s">
        <v>225</v>
      </c>
      <c r="M55" s="9" t="s">
        <v>226</v>
      </c>
      <c r="N55" s="9"/>
      <c r="O55" s="22" t="s">
        <v>398</v>
      </c>
      <c r="P55" s="23" t="s">
        <v>43</v>
      </c>
      <c r="Q55" s="23" t="s">
        <v>225</v>
      </c>
      <c r="R55" s="23" t="s">
        <v>225</v>
      </c>
      <c r="S55" s="24" t="s">
        <v>226</v>
      </c>
    </row>
    <row r="56" spans="1:19" ht="15.75" hidden="1" customHeight="1" x14ac:dyDescent="0.2">
      <c r="A56" s="9"/>
      <c r="B56" s="10"/>
      <c r="C56" s="9"/>
      <c r="D56" s="9"/>
      <c r="E56" s="33" t="s">
        <v>399</v>
      </c>
      <c r="F56" s="34" t="s">
        <v>400</v>
      </c>
      <c r="G56" s="35" t="s">
        <v>385</v>
      </c>
      <c r="H56" s="9"/>
      <c r="I56" s="9" t="s">
        <v>401</v>
      </c>
      <c r="J56" s="9" t="s">
        <v>43</v>
      </c>
      <c r="K56" s="9" t="s">
        <v>225</v>
      </c>
      <c r="L56" s="9" t="s">
        <v>225</v>
      </c>
      <c r="M56" s="9" t="s">
        <v>226</v>
      </c>
      <c r="N56" s="9"/>
      <c r="O56" s="22" t="s">
        <v>401</v>
      </c>
      <c r="P56" s="23" t="s">
        <v>43</v>
      </c>
      <c r="Q56" s="23" t="s">
        <v>225</v>
      </c>
      <c r="R56" s="23" t="s">
        <v>225</v>
      </c>
      <c r="S56" s="24" t="s">
        <v>226</v>
      </c>
    </row>
    <row r="57" spans="1:19" ht="15.75" hidden="1" customHeight="1" x14ac:dyDescent="0.2">
      <c r="A57" s="9"/>
      <c r="B57" s="10"/>
      <c r="C57" s="9"/>
      <c r="D57" s="9"/>
      <c r="E57" s="33" t="s">
        <v>402</v>
      </c>
      <c r="F57" s="34" t="s">
        <v>403</v>
      </c>
      <c r="G57" s="35" t="s">
        <v>385</v>
      </c>
      <c r="H57" s="9"/>
      <c r="I57" s="9" t="s">
        <v>404</v>
      </c>
      <c r="J57" s="9" t="s">
        <v>43</v>
      </c>
      <c r="K57" s="9" t="s">
        <v>225</v>
      </c>
      <c r="L57" s="9" t="s">
        <v>225</v>
      </c>
      <c r="M57" s="9" t="s">
        <v>226</v>
      </c>
      <c r="N57" s="9"/>
      <c r="O57" s="22" t="s">
        <v>404</v>
      </c>
      <c r="P57" s="23" t="s">
        <v>43</v>
      </c>
      <c r="Q57" s="23" t="s">
        <v>225</v>
      </c>
      <c r="R57" s="23" t="s">
        <v>225</v>
      </c>
      <c r="S57" s="24" t="s">
        <v>226</v>
      </c>
    </row>
    <row r="58" spans="1:19" ht="15.75" hidden="1" customHeight="1" x14ac:dyDescent="0.2">
      <c r="A58" s="9"/>
      <c r="B58" s="10"/>
      <c r="C58" s="9"/>
      <c r="D58" s="9"/>
      <c r="E58" s="33" t="s">
        <v>405</v>
      </c>
      <c r="F58" s="34" t="s">
        <v>406</v>
      </c>
      <c r="G58" s="35" t="s">
        <v>385</v>
      </c>
      <c r="H58" s="9"/>
      <c r="I58" s="9" t="s">
        <v>407</v>
      </c>
      <c r="J58" s="9" t="s">
        <v>43</v>
      </c>
      <c r="K58" s="9" t="s">
        <v>225</v>
      </c>
      <c r="L58" s="9" t="s">
        <v>225</v>
      </c>
      <c r="M58" s="9" t="s">
        <v>226</v>
      </c>
      <c r="N58" s="9"/>
      <c r="O58" s="22" t="s">
        <v>407</v>
      </c>
      <c r="P58" s="23" t="s">
        <v>43</v>
      </c>
      <c r="Q58" s="23" t="s">
        <v>225</v>
      </c>
      <c r="R58" s="23" t="s">
        <v>225</v>
      </c>
      <c r="S58" s="24" t="s">
        <v>226</v>
      </c>
    </row>
    <row r="59" spans="1:19" ht="15.75" hidden="1" customHeight="1" x14ac:dyDescent="0.2">
      <c r="A59" s="9"/>
      <c r="B59" s="10"/>
      <c r="C59" s="9"/>
      <c r="D59" s="9"/>
      <c r="E59" s="33" t="s">
        <v>408</v>
      </c>
      <c r="F59" s="34" t="s">
        <v>409</v>
      </c>
      <c r="G59" s="35" t="s">
        <v>410</v>
      </c>
      <c r="H59" s="9"/>
      <c r="I59" s="9" t="s">
        <v>411</v>
      </c>
      <c r="J59" s="9" t="s">
        <v>43</v>
      </c>
      <c r="K59" s="9" t="s">
        <v>225</v>
      </c>
      <c r="L59" s="9" t="s">
        <v>225</v>
      </c>
      <c r="M59" s="9" t="s">
        <v>226</v>
      </c>
      <c r="N59" s="9"/>
      <c r="O59" s="22" t="s">
        <v>411</v>
      </c>
      <c r="P59" s="23" t="s">
        <v>43</v>
      </c>
      <c r="Q59" s="23" t="s">
        <v>225</v>
      </c>
      <c r="R59" s="23" t="s">
        <v>225</v>
      </c>
      <c r="S59" s="24" t="s">
        <v>226</v>
      </c>
    </row>
    <row r="60" spans="1:19" ht="15.75" hidden="1" customHeight="1" x14ac:dyDescent="0.2">
      <c r="A60" s="9"/>
      <c r="B60" s="10"/>
      <c r="C60" s="9"/>
      <c r="D60" s="9"/>
      <c r="E60" s="33" t="s">
        <v>412</v>
      </c>
      <c r="F60" s="34" t="s">
        <v>413</v>
      </c>
      <c r="G60" s="35" t="s">
        <v>410</v>
      </c>
      <c r="H60" s="9"/>
      <c r="I60" s="9" t="s">
        <v>414</v>
      </c>
      <c r="J60" s="9" t="s">
        <v>415</v>
      </c>
      <c r="K60" s="9" t="s">
        <v>225</v>
      </c>
      <c r="L60" s="9" t="s">
        <v>225</v>
      </c>
      <c r="M60" s="9" t="s">
        <v>226</v>
      </c>
      <c r="N60" s="9"/>
      <c r="O60" s="22" t="s">
        <v>414</v>
      </c>
      <c r="P60" s="23" t="s">
        <v>415</v>
      </c>
      <c r="Q60" s="23" t="s">
        <v>225</v>
      </c>
      <c r="R60" s="23" t="s">
        <v>225</v>
      </c>
      <c r="S60" s="24" t="s">
        <v>226</v>
      </c>
    </row>
    <row r="61" spans="1:19" ht="15.75" hidden="1" customHeight="1" x14ac:dyDescent="0.2">
      <c r="A61" s="9"/>
      <c r="B61" s="10"/>
      <c r="C61" s="9"/>
      <c r="D61" s="9"/>
      <c r="E61" s="33" t="s">
        <v>416</v>
      </c>
      <c r="F61" s="34" t="s">
        <v>417</v>
      </c>
      <c r="G61" s="35" t="s">
        <v>410</v>
      </c>
      <c r="H61" s="9"/>
      <c r="I61" s="9" t="s">
        <v>418</v>
      </c>
      <c r="J61" s="9" t="s">
        <v>43</v>
      </c>
      <c r="K61" s="9" t="s">
        <v>225</v>
      </c>
      <c r="L61" s="9" t="s">
        <v>225</v>
      </c>
      <c r="M61" s="9" t="s">
        <v>226</v>
      </c>
      <c r="N61" s="9"/>
      <c r="O61" s="22" t="s">
        <v>418</v>
      </c>
      <c r="P61" s="23" t="s">
        <v>43</v>
      </c>
      <c r="Q61" s="23" t="s">
        <v>225</v>
      </c>
      <c r="R61" s="23" t="s">
        <v>225</v>
      </c>
      <c r="S61" s="24" t="s">
        <v>226</v>
      </c>
    </row>
    <row r="62" spans="1:19" ht="15.75" hidden="1" customHeight="1" x14ac:dyDescent="0.2">
      <c r="A62" s="9"/>
      <c r="B62" s="10"/>
      <c r="C62" s="9"/>
      <c r="D62" s="9"/>
      <c r="E62" s="33" t="s">
        <v>419</v>
      </c>
      <c r="F62" s="34" t="s">
        <v>420</v>
      </c>
      <c r="G62" s="35" t="s">
        <v>421</v>
      </c>
      <c r="H62" s="9"/>
      <c r="I62" s="9" t="s">
        <v>422</v>
      </c>
      <c r="J62" s="9" t="s">
        <v>43</v>
      </c>
      <c r="K62" s="9" t="s">
        <v>226</v>
      </c>
      <c r="L62" s="9" t="s">
        <v>225</v>
      </c>
      <c r="M62" s="9" t="s">
        <v>226</v>
      </c>
      <c r="N62" s="9"/>
      <c r="O62" s="22" t="s">
        <v>422</v>
      </c>
      <c r="P62" s="23" t="s">
        <v>43</v>
      </c>
      <c r="Q62" s="23" t="s">
        <v>226</v>
      </c>
      <c r="R62" s="23" t="s">
        <v>225</v>
      </c>
      <c r="S62" s="24" t="s">
        <v>226</v>
      </c>
    </row>
    <row r="63" spans="1:19" ht="15.75" hidden="1" customHeight="1" x14ac:dyDescent="0.2">
      <c r="A63" s="9"/>
      <c r="B63" s="10"/>
      <c r="C63" s="9"/>
      <c r="D63" s="9"/>
      <c r="E63" s="33" t="s">
        <v>423</v>
      </c>
      <c r="F63" s="34" t="s">
        <v>424</v>
      </c>
      <c r="G63" s="35" t="s">
        <v>425</v>
      </c>
      <c r="H63" s="9"/>
      <c r="I63" s="9" t="s">
        <v>426</v>
      </c>
      <c r="J63" s="9" t="s">
        <v>43</v>
      </c>
      <c r="K63" s="9" t="s">
        <v>225</v>
      </c>
      <c r="L63" s="9" t="s">
        <v>225</v>
      </c>
      <c r="M63" s="9" t="s">
        <v>225</v>
      </c>
      <c r="N63" s="9"/>
      <c r="O63" s="22" t="s">
        <v>426</v>
      </c>
      <c r="P63" s="23" t="s">
        <v>43</v>
      </c>
      <c r="Q63" s="23" t="s">
        <v>225</v>
      </c>
      <c r="R63" s="23" t="s">
        <v>225</v>
      </c>
      <c r="S63" s="24" t="s">
        <v>225</v>
      </c>
    </row>
    <row r="64" spans="1:19" ht="15.75" hidden="1" customHeight="1" x14ac:dyDescent="0.2">
      <c r="A64" s="9"/>
      <c r="B64" s="10"/>
      <c r="C64" s="9"/>
      <c r="D64" s="9"/>
      <c r="E64" s="33" t="s">
        <v>427</v>
      </c>
      <c r="F64" s="34" t="s">
        <v>428</v>
      </c>
      <c r="G64" s="35" t="s">
        <v>349</v>
      </c>
      <c r="H64" s="9"/>
      <c r="I64" s="9" t="s">
        <v>429</v>
      </c>
      <c r="J64" s="9" t="s">
        <v>43</v>
      </c>
      <c r="K64" s="9" t="s">
        <v>226</v>
      </c>
      <c r="L64" s="9" t="s">
        <v>225</v>
      </c>
      <c r="M64" s="9" t="s">
        <v>225</v>
      </c>
      <c r="N64" s="9"/>
      <c r="O64" s="22" t="s">
        <v>429</v>
      </c>
      <c r="P64" s="23" t="s">
        <v>43</v>
      </c>
      <c r="Q64" s="23" t="s">
        <v>226</v>
      </c>
      <c r="R64" s="23" t="s">
        <v>225</v>
      </c>
      <c r="S64" s="24" t="s">
        <v>225</v>
      </c>
    </row>
    <row r="65" spans="1:19" ht="15.75" hidden="1" customHeight="1" x14ac:dyDescent="0.2">
      <c r="A65" s="9"/>
      <c r="B65" s="10"/>
      <c r="C65" s="9"/>
      <c r="D65" s="9"/>
      <c r="E65" s="33" t="s">
        <v>430</v>
      </c>
      <c r="F65" s="34" t="s">
        <v>431</v>
      </c>
      <c r="G65" s="35" t="s">
        <v>432</v>
      </c>
      <c r="H65" s="9"/>
      <c r="I65" s="9" t="s">
        <v>433</v>
      </c>
      <c r="J65" s="9" t="s">
        <v>43</v>
      </c>
      <c r="K65" s="9" t="s">
        <v>226</v>
      </c>
      <c r="L65" s="9" t="s">
        <v>225</v>
      </c>
      <c r="M65" s="9" t="s">
        <v>225</v>
      </c>
      <c r="N65" s="9"/>
      <c r="O65" s="22" t="s">
        <v>433</v>
      </c>
      <c r="P65" s="23" t="s">
        <v>43</v>
      </c>
      <c r="Q65" s="23" t="s">
        <v>226</v>
      </c>
      <c r="R65" s="23" t="s">
        <v>225</v>
      </c>
      <c r="S65" s="24" t="s">
        <v>225</v>
      </c>
    </row>
    <row r="66" spans="1:19" ht="15.75" hidden="1" customHeight="1" x14ac:dyDescent="0.2">
      <c r="A66" s="9"/>
      <c r="B66" s="10"/>
      <c r="C66" s="9"/>
      <c r="D66" s="9"/>
      <c r="E66" s="33" t="s">
        <v>434</v>
      </c>
      <c r="F66" s="34" t="s">
        <v>435</v>
      </c>
      <c r="G66" s="35" t="s">
        <v>432</v>
      </c>
      <c r="H66" s="9"/>
      <c r="I66" s="9" t="s">
        <v>436</v>
      </c>
      <c r="J66" s="9" t="s">
        <v>43</v>
      </c>
      <c r="K66" s="9" t="s">
        <v>226</v>
      </c>
      <c r="L66" s="9" t="s">
        <v>225</v>
      </c>
      <c r="M66" s="9" t="s">
        <v>225</v>
      </c>
      <c r="N66" s="9"/>
      <c r="O66" s="22" t="s">
        <v>436</v>
      </c>
      <c r="P66" s="23" t="s">
        <v>43</v>
      </c>
      <c r="Q66" s="23" t="s">
        <v>226</v>
      </c>
      <c r="R66" s="23" t="s">
        <v>225</v>
      </c>
      <c r="S66" s="24" t="s">
        <v>225</v>
      </c>
    </row>
    <row r="67" spans="1:19" ht="15.75" hidden="1" customHeight="1" x14ac:dyDescent="0.2">
      <c r="A67" s="9"/>
      <c r="B67" s="10"/>
      <c r="C67" s="9"/>
      <c r="D67" s="9"/>
      <c r="E67" s="33" t="s">
        <v>437</v>
      </c>
      <c r="F67" s="34" t="s">
        <v>438</v>
      </c>
      <c r="G67" s="35" t="s">
        <v>439</v>
      </c>
      <c r="H67" s="9"/>
      <c r="I67" s="9" t="s">
        <v>440</v>
      </c>
      <c r="J67" s="9" t="s">
        <v>43</v>
      </c>
      <c r="K67" s="9" t="s">
        <v>226</v>
      </c>
      <c r="L67" s="9" t="s">
        <v>225</v>
      </c>
      <c r="M67" s="9" t="s">
        <v>225</v>
      </c>
      <c r="N67" s="9"/>
      <c r="O67" s="22" t="s">
        <v>440</v>
      </c>
      <c r="P67" s="23" t="s">
        <v>43</v>
      </c>
      <c r="Q67" s="23" t="s">
        <v>226</v>
      </c>
      <c r="R67" s="23" t="s">
        <v>225</v>
      </c>
      <c r="S67" s="24" t="s">
        <v>225</v>
      </c>
    </row>
    <row r="68" spans="1:19" ht="15.75" hidden="1" customHeight="1" x14ac:dyDescent="0.2">
      <c r="A68" s="9"/>
      <c r="B68" s="10"/>
      <c r="C68" s="9"/>
      <c r="D68" s="9"/>
      <c r="E68" s="33" t="s">
        <v>441</v>
      </c>
      <c r="F68" s="34" t="s">
        <v>442</v>
      </c>
      <c r="G68" s="35" t="s">
        <v>443</v>
      </c>
      <c r="H68" s="9"/>
      <c r="I68" s="9" t="s">
        <v>444</v>
      </c>
      <c r="J68" s="9" t="s">
        <v>43</v>
      </c>
      <c r="K68" s="9" t="s">
        <v>226</v>
      </c>
      <c r="L68" s="9" t="s">
        <v>225</v>
      </c>
      <c r="M68" s="9" t="s">
        <v>225</v>
      </c>
      <c r="N68" s="9"/>
      <c r="O68" s="22" t="s">
        <v>444</v>
      </c>
      <c r="P68" s="23" t="s">
        <v>43</v>
      </c>
      <c r="Q68" s="23" t="s">
        <v>226</v>
      </c>
      <c r="R68" s="23" t="s">
        <v>225</v>
      </c>
      <c r="S68" s="24" t="s">
        <v>225</v>
      </c>
    </row>
    <row r="69" spans="1:19" ht="15.75" hidden="1" customHeight="1" x14ac:dyDescent="0.2">
      <c r="A69" s="9"/>
      <c r="B69" s="10"/>
      <c r="C69" s="9"/>
      <c r="D69" s="9"/>
      <c r="E69" s="33" t="s">
        <v>445</v>
      </c>
      <c r="F69" s="34" t="s">
        <v>446</v>
      </c>
      <c r="G69" s="35" t="s">
        <v>447</v>
      </c>
      <c r="H69" s="9"/>
      <c r="I69" s="9" t="s">
        <v>448</v>
      </c>
      <c r="J69" s="9" t="s">
        <v>43</v>
      </c>
      <c r="K69" s="9" t="s">
        <v>226</v>
      </c>
      <c r="L69" s="9" t="s">
        <v>225</v>
      </c>
      <c r="M69" s="9" t="s">
        <v>225</v>
      </c>
      <c r="N69" s="9"/>
      <c r="O69" s="22" t="s">
        <v>448</v>
      </c>
      <c r="P69" s="23" t="s">
        <v>43</v>
      </c>
      <c r="Q69" s="23" t="s">
        <v>226</v>
      </c>
      <c r="R69" s="23" t="s">
        <v>225</v>
      </c>
      <c r="S69" s="24" t="s">
        <v>225</v>
      </c>
    </row>
    <row r="70" spans="1:19" ht="15.75" hidden="1" customHeight="1" x14ac:dyDescent="0.2">
      <c r="A70" s="9"/>
      <c r="B70" s="10"/>
      <c r="C70" s="9"/>
      <c r="D70" s="9"/>
      <c r="E70" s="33" t="s">
        <v>130</v>
      </c>
      <c r="F70" s="34" t="s">
        <v>449</v>
      </c>
      <c r="G70" s="35" t="s">
        <v>293</v>
      </c>
      <c r="H70" s="9"/>
      <c r="I70" s="9" t="s">
        <v>450</v>
      </c>
      <c r="J70" s="9" t="s">
        <v>43</v>
      </c>
      <c r="K70" s="9" t="s">
        <v>226</v>
      </c>
      <c r="L70" s="9" t="s">
        <v>225</v>
      </c>
      <c r="M70" s="9" t="s">
        <v>225</v>
      </c>
      <c r="N70" s="9"/>
      <c r="O70" s="22" t="s">
        <v>450</v>
      </c>
      <c r="P70" s="23" t="s">
        <v>43</v>
      </c>
      <c r="Q70" s="23" t="s">
        <v>226</v>
      </c>
      <c r="R70" s="23" t="s">
        <v>225</v>
      </c>
      <c r="S70" s="24" t="s">
        <v>225</v>
      </c>
    </row>
    <row r="71" spans="1:19" ht="15.75" hidden="1" customHeight="1" x14ac:dyDescent="0.2">
      <c r="A71" s="9"/>
      <c r="B71" s="10"/>
      <c r="C71" s="9"/>
      <c r="D71" s="9"/>
      <c r="E71" s="33" t="s">
        <v>451</v>
      </c>
      <c r="F71" s="34" t="s">
        <v>452</v>
      </c>
      <c r="G71" s="35" t="s">
        <v>453</v>
      </c>
      <c r="H71" s="9"/>
      <c r="I71" s="9" t="s">
        <v>454</v>
      </c>
      <c r="J71" s="9" t="s">
        <v>43</v>
      </c>
      <c r="K71" s="9" t="s">
        <v>226</v>
      </c>
      <c r="L71" s="9" t="s">
        <v>225</v>
      </c>
      <c r="M71" s="9" t="s">
        <v>225</v>
      </c>
      <c r="N71" s="9"/>
      <c r="O71" s="22" t="s">
        <v>454</v>
      </c>
      <c r="P71" s="23" t="s">
        <v>43</v>
      </c>
      <c r="Q71" s="23" t="s">
        <v>226</v>
      </c>
      <c r="R71" s="23" t="s">
        <v>225</v>
      </c>
      <c r="S71" s="24" t="s">
        <v>225</v>
      </c>
    </row>
    <row r="72" spans="1:19" ht="15.75" hidden="1" customHeight="1" x14ac:dyDescent="0.2">
      <c r="A72" s="9"/>
      <c r="B72" s="10"/>
      <c r="C72" s="9"/>
      <c r="D72" s="9"/>
      <c r="E72" s="33" t="s">
        <v>455</v>
      </c>
      <c r="F72" s="34" t="s">
        <v>456</v>
      </c>
      <c r="G72" s="35" t="s">
        <v>453</v>
      </c>
      <c r="H72" s="9"/>
      <c r="I72" s="9" t="s">
        <v>457</v>
      </c>
      <c r="J72" s="9" t="s">
        <v>43</v>
      </c>
      <c r="K72" s="9" t="s">
        <v>226</v>
      </c>
      <c r="L72" s="9" t="s">
        <v>225</v>
      </c>
      <c r="M72" s="9" t="s">
        <v>225</v>
      </c>
      <c r="N72" s="9"/>
      <c r="O72" s="22" t="s">
        <v>457</v>
      </c>
      <c r="P72" s="23" t="s">
        <v>43</v>
      </c>
      <c r="Q72" s="23" t="s">
        <v>226</v>
      </c>
      <c r="R72" s="23" t="s">
        <v>225</v>
      </c>
      <c r="S72" s="24" t="s">
        <v>225</v>
      </c>
    </row>
    <row r="73" spans="1:19" ht="15.75" hidden="1" customHeight="1" x14ac:dyDescent="0.2">
      <c r="A73" s="9"/>
      <c r="B73" s="10"/>
      <c r="C73" s="9"/>
      <c r="D73" s="9"/>
      <c r="E73" s="33" t="s">
        <v>458</v>
      </c>
      <c r="F73" s="34" t="s">
        <v>459</v>
      </c>
      <c r="G73" s="35" t="s">
        <v>349</v>
      </c>
      <c r="H73" s="9"/>
      <c r="I73" s="9" t="s">
        <v>460</v>
      </c>
      <c r="J73" s="9" t="s">
        <v>43</v>
      </c>
      <c r="K73" s="9" t="s">
        <v>226</v>
      </c>
      <c r="L73" s="9" t="s">
        <v>225</v>
      </c>
      <c r="M73" s="9" t="s">
        <v>225</v>
      </c>
      <c r="N73" s="9"/>
      <c r="O73" s="22" t="s">
        <v>460</v>
      </c>
      <c r="P73" s="23" t="s">
        <v>43</v>
      </c>
      <c r="Q73" s="23" t="s">
        <v>226</v>
      </c>
      <c r="R73" s="23" t="s">
        <v>225</v>
      </c>
      <c r="S73" s="24" t="s">
        <v>225</v>
      </c>
    </row>
    <row r="74" spans="1:19" ht="15.75" hidden="1" customHeight="1" x14ac:dyDescent="0.2">
      <c r="A74" s="9"/>
      <c r="B74" s="10"/>
      <c r="C74" s="9"/>
      <c r="D74" s="9"/>
      <c r="E74" s="33" t="s">
        <v>461</v>
      </c>
      <c r="F74" s="34" t="s">
        <v>462</v>
      </c>
      <c r="G74" s="35" t="s">
        <v>463</v>
      </c>
      <c r="H74" s="9"/>
      <c r="I74" s="9" t="s">
        <v>464</v>
      </c>
      <c r="J74" s="9" t="s">
        <v>43</v>
      </c>
      <c r="K74" s="9" t="s">
        <v>226</v>
      </c>
      <c r="L74" s="9" t="s">
        <v>225</v>
      </c>
      <c r="M74" s="9" t="s">
        <v>225</v>
      </c>
      <c r="N74" s="9"/>
      <c r="O74" s="22" t="s">
        <v>464</v>
      </c>
      <c r="P74" s="23" t="s">
        <v>43</v>
      </c>
      <c r="Q74" s="23" t="s">
        <v>226</v>
      </c>
      <c r="R74" s="23" t="s">
        <v>225</v>
      </c>
      <c r="S74" s="24" t="s">
        <v>225</v>
      </c>
    </row>
    <row r="75" spans="1:19" ht="15.75" hidden="1" customHeight="1" x14ac:dyDescent="0.2">
      <c r="A75" s="9"/>
      <c r="B75" s="10"/>
      <c r="C75" s="9"/>
      <c r="D75" s="9"/>
      <c r="E75" s="33" t="s">
        <v>465</v>
      </c>
      <c r="F75" s="34" t="s">
        <v>466</v>
      </c>
      <c r="G75" s="35" t="s">
        <v>349</v>
      </c>
      <c r="H75" s="9"/>
      <c r="I75" s="9" t="s">
        <v>467</v>
      </c>
      <c r="J75" s="9" t="s">
        <v>43</v>
      </c>
      <c r="K75" s="9" t="s">
        <v>226</v>
      </c>
      <c r="L75" s="9" t="s">
        <v>225</v>
      </c>
      <c r="M75" s="9" t="s">
        <v>225</v>
      </c>
      <c r="N75" s="9"/>
      <c r="O75" s="22" t="s">
        <v>467</v>
      </c>
      <c r="P75" s="23" t="s">
        <v>43</v>
      </c>
      <c r="Q75" s="23" t="s">
        <v>226</v>
      </c>
      <c r="R75" s="23" t="s">
        <v>225</v>
      </c>
      <c r="S75" s="24" t="s">
        <v>225</v>
      </c>
    </row>
    <row r="76" spans="1:19" ht="15.75" hidden="1" customHeight="1" x14ac:dyDescent="0.2">
      <c r="A76" s="9"/>
      <c r="B76" s="10"/>
      <c r="C76" s="9"/>
      <c r="D76" s="9"/>
      <c r="E76" s="33" t="s">
        <v>468</v>
      </c>
      <c r="F76" s="34" t="s">
        <v>469</v>
      </c>
      <c r="G76" s="35" t="s">
        <v>470</v>
      </c>
      <c r="H76" s="9"/>
      <c r="I76" s="9" t="s">
        <v>471</v>
      </c>
      <c r="J76" s="9" t="s">
        <v>43</v>
      </c>
      <c r="K76" s="9" t="s">
        <v>225</v>
      </c>
      <c r="L76" s="9" t="s">
        <v>225</v>
      </c>
      <c r="M76" s="9" t="s">
        <v>225</v>
      </c>
      <c r="N76" s="9"/>
      <c r="O76" s="22" t="s">
        <v>471</v>
      </c>
      <c r="P76" s="23" t="s">
        <v>43</v>
      </c>
      <c r="Q76" s="23" t="s">
        <v>225</v>
      </c>
      <c r="R76" s="23" t="s">
        <v>225</v>
      </c>
      <c r="S76" s="24" t="s">
        <v>225</v>
      </c>
    </row>
    <row r="77" spans="1:19" ht="15.75" hidden="1" customHeight="1" x14ac:dyDescent="0.2">
      <c r="A77" s="9"/>
      <c r="B77" s="10"/>
      <c r="C77" s="9"/>
      <c r="D77" s="9"/>
      <c r="E77" s="33" t="s">
        <v>472</v>
      </c>
      <c r="F77" s="34" t="s">
        <v>473</v>
      </c>
      <c r="G77" s="35" t="s">
        <v>349</v>
      </c>
      <c r="H77" s="9"/>
      <c r="I77" s="9" t="s">
        <v>474</v>
      </c>
      <c r="J77" s="9" t="s">
        <v>43</v>
      </c>
      <c r="K77" s="9" t="s">
        <v>226</v>
      </c>
      <c r="L77" s="9" t="s">
        <v>225</v>
      </c>
      <c r="M77" s="9" t="s">
        <v>225</v>
      </c>
      <c r="N77" s="9"/>
      <c r="O77" s="22" t="s">
        <v>474</v>
      </c>
      <c r="P77" s="23" t="s">
        <v>43</v>
      </c>
      <c r="Q77" s="23" t="s">
        <v>226</v>
      </c>
      <c r="R77" s="23" t="s">
        <v>225</v>
      </c>
      <c r="S77" s="24" t="s">
        <v>225</v>
      </c>
    </row>
    <row r="78" spans="1:19" ht="15.75" hidden="1" customHeight="1" x14ac:dyDescent="0.2">
      <c r="A78" s="9"/>
      <c r="B78" s="10"/>
      <c r="C78" s="9"/>
      <c r="D78" s="9"/>
      <c r="E78" s="33" t="s">
        <v>475</v>
      </c>
      <c r="F78" s="34" t="s">
        <v>476</v>
      </c>
      <c r="G78" s="35" t="s">
        <v>223</v>
      </c>
      <c r="H78" s="9"/>
      <c r="I78" s="9" t="s">
        <v>477</v>
      </c>
      <c r="J78" s="9" t="s">
        <v>43</v>
      </c>
      <c r="K78" s="9" t="s">
        <v>226</v>
      </c>
      <c r="L78" s="9" t="s">
        <v>225</v>
      </c>
      <c r="M78" s="9" t="s">
        <v>225</v>
      </c>
      <c r="N78" s="9"/>
      <c r="O78" s="22" t="s">
        <v>477</v>
      </c>
      <c r="P78" s="23" t="s">
        <v>43</v>
      </c>
      <c r="Q78" s="23" t="s">
        <v>226</v>
      </c>
      <c r="R78" s="23" t="s">
        <v>225</v>
      </c>
      <c r="S78" s="24" t="s">
        <v>225</v>
      </c>
    </row>
    <row r="79" spans="1:19" ht="15.75" hidden="1" customHeight="1" x14ac:dyDescent="0.2">
      <c r="A79" s="9"/>
      <c r="B79" s="10"/>
      <c r="C79" s="9"/>
      <c r="D79" s="9"/>
      <c r="E79" s="33" t="s">
        <v>478</v>
      </c>
      <c r="F79" s="34" t="s">
        <v>479</v>
      </c>
      <c r="G79" s="35" t="s">
        <v>349</v>
      </c>
      <c r="H79" s="9"/>
      <c r="I79" s="9" t="s">
        <v>480</v>
      </c>
      <c r="J79" s="9" t="s">
        <v>43</v>
      </c>
      <c r="K79" s="9" t="s">
        <v>226</v>
      </c>
      <c r="L79" s="9" t="s">
        <v>225</v>
      </c>
      <c r="M79" s="9" t="s">
        <v>225</v>
      </c>
      <c r="N79" s="9"/>
      <c r="O79" s="22" t="s">
        <v>480</v>
      </c>
      <c r="P79" s="23" t="s">
        <v>43</v>
      </c>
      <c r="Q79" s="23" t="s">
        <v>226</v>
      </c>
      <c r="R79" s="23" t="s">
        <v>225</v>
      </c>
      <c r="S79" s="24" t="s">
        <v>225</v>
      </c>
    </row>
    <row r="80" spans="1:19" ht="15.75" hidden="1" customHeight="1" x14ac:dyDescent="0.2">
      <c r="A80" s="9"/>
      <c r="B80" s="10"/>
      <c r="C80" s="9"/>
      <c r="D80" s="9"/>
      <c r="E80" s="33" t="s">
        <v>481</v>
      </c>
      <c r="F80" s="34" t="s">
        <v>482</v>
      </c>
      <c r="G80" s="35" t="s">
        <v>483</v>
      </c>
      <c r="H80" s="9"/>
      <c r="I80" s="9" t="s">
        <v>484</v>
      </c>
      <c r="J80" s="9" t="s">
        <v>43</v>
      </c>
      <c r="K80" s="9" t="s">
        <v>226</v>
      </c>
      <c r="L80" s="9" t="s">
        <v>225</v>
      </c>
      <c r="M80" s="9" t="s">
        <v>225</v>
      </c>
      <c r="O80" s="22" t="s">
        <v>484</v>
      </c>
      <c r="P80" s="23" t="s">
        <v>43</v>
      </c>
      <c r="Q80" s="23" t="s">
        <v>226</v>
      </c>
      <c r="R80" s="23" t="s">
        <v>225</v>
      </c>
      <c r="S80" s="24" t="s">
        <v>225</v>
      </c>
    </row>
    <row r="81" spans="1:19" ht="15.75" hidden="1" customHeight="1" x14ac:dyDescent="0.2">
      <c r="A81" s="9"/>
      <c r="B81" s="10"/>
      <c r="C81" s="9"/>
      <c r="D81" s="9"/>
      <c r="E81" s="33" t="s">
        <v>485</v>
      </c>
      <c r="F81" s="34" t="s">
        <v>486</v>
      </c>
      <c r="G81" s="35" t="s">
        <v>487</v>
      </c>
      <c r="H81" s="9"/>
      <c r="I81" s="9" t="s">
        <v>488</v>
      </c>
      <c r="J81" s="9" t="s">
        <v>43</v>
      </c>
      <c r="K81" s="9" t="s">
        <v>226</v>
      </c>
      <c r="L81" s="9" t="s">
        <v>225</v>
      </c>
      <c r="M81" s="9" t="s">
        <v>225</v>
      </c>
      <c r="O81" s="22" t="s">
        <v>488</v>
      </c>
      <c r="P81" s="23" t="s">
        <v>43</v>
      </c>
      <c r="Q81" s="23" t="s">
        <v>226</v>
      </c>
      <c r="R81" s="23" t="s">
        <v>225</v>
      </c>
      <c r="S81" s="24" t="s">
        <v>225</v>
      </c>
    </row>
    <row r="82" spans="1:19" ht="15.75" hidden="1" customHeight="1" x14ac:dyDescent="0.2">
      <c r="A82" s="9"/>
      <c r="B82" s="10"/>
      <c r="C82" s="9"/>
      <c r="D82" s="9"/>
      <c r="E82" s="33" t="s">
        <v>489</v>
      </c>
      <c r="F82" s="34" t="s">
        <v>490</v>
      </c>
      <c r="G82" s="35" t="s">
        <v>223</v>
      </c>
      <c r="H82" s="9"/>
      <c r="I82" s="9" t="s">
        <v>491</v>
      </c>
      <c r="J82" s="9" t="s">
        <v>43</v>
      </c>
      <c r="K82" s="9" t="s">
        <v>225</v>
      </c>
      <c r="L82" s="9" t="s">
        <v>225</v>
      </c>
      <c r="M82" s="9" t="s">
        <v>225</v>
      </c>
      <c r="O82" s="22" t="s">
        <v>491</v>
      </c>
      <c r="P82" s="23" t="s">
        <v>43</v>
      </c>
      <c r="Q82" s="23" t="s">
        <v>225</v>
      </c>
      <c r="R82" s="23" t="s">
        <v>225</v>
      </c>
      <c r="S82" s="24" t="s">
        <v>225</v>
      </c>
    </row>
    <row r="83" spans="1:19" ht="15.75" hidden="1" customHeight="1" x14ac:dyDescent="0.2">
      <c r="A83" s="9"/>
      <c r="B83" s="10"/>
      <c r="C83" s="9"/>
      <c r="D83" s="9"/>
      <c r="E83" s="33" t="s">
        <v>492</v>
      </c>
      <c r="F83" s="34" t="s">
        <v>230</v>
      </c>
      <c r="G83" s="35" t="s">
        <v>223</v>
      </c>
      <c r="H83" s="9"/>
      <c r="I83" s="9" t="s">
        <v>493</v>
      </c>
      <c r="J83" s="9" t="s">
        <v>43</v>
      </c>
      <c r="K83" s="9" t="s">
        <v>226</v>
      </c>
      <c r="L83" s="9" t="s">
        <v>225</v>
      </c>
      <c r="M83" s="9" t="s">
        <v>225</v>
      </c>
      <c r="O83" s="22" t="s">
        <v>493</v>
      </c>
      <c r="P83" s="23" t="s">
        <v>43</v>
      </c>
      <c r="Q83" s="23" t="s">
        <v>226</v>
      </c>
      <c r="R83" s="23" t="s">
        <v>225</v>
      </c>
      <c r="S83" s="24" t="s">
        <v>225</v>
      </c>
    </row>
    <row r="84" spans="1:19" ht="15.75" hidden="1" customHeight="1" x14ac:dyDescent="0.2">
      <c r="A84" s="9"/>
      <c r="B84" s="10"/>
      <c r="C84" s="9"/>
      <c r="D84" s="9"/>
      <c r="E84" s="33" t="s">
        <v>494</v>
      </c>
      <c r="F84" s="34" t="s">
        <v>495</v>
      </c>
      <c r="G84" s="35" t="s">
        <v>223</v>
      </c>
      <c r="H84" s="9"/>
      <c r="I84" s="9" t="s">
        <v>496</v>
      </c>
      <c r="J84" s="9" t="s">
        <v>43</v>
      </c>
      <c r="K84" s="9" t="s">
        <v>226</v>
      </c>
      <c r="L84" s="9" t="s">
        <v>225</v>
      </c>
      <c r="M84" s="9" t="s">
        <v>225</v>
      </c>
      <c r="O84" s="22" t="s">
        <v>496</v>
      </c>
      <c r="P84" s="23" t="s">
        <v>43</v>
      </c>
      <c r="Q84" s="23" t="s">
        <v>226</v>
      </c>
      <c r="R84" s="23" t="s">
        <v>225</v>
      </c>
      <c r="S84" s="24" t="s">
        <v>225</v>
      </c>
    </row>
    <row r="85" spans="1:19" ht="15.75" hidden="1" customHeight="1" x14ac:dyDescent="0.2">
      <c r="A85" s="9"/>
      <c r="B85" s="10"/>
      <c r="C85" s="9"/>
      <c r="D85" s="9"/>
      <c r="E85" s="33" t="s">
        <v>497</v>
      </c>
      <c r="F85" s="34" t="s">
        <v>498</v>
      </c>
      <c r="G85" s="35" t="s">
        <v>223</v>
      </c>
      <c r="H85" s="9"/>
      <c r="I85" s="9" t="s">
        <v>499</v>
      </c>
      <c r="J85" s="9" t="s">
        <v>43</v>
      </c>
      <c r="K85" s="9" t="s">
        <v>226</v>
      </c>
      <c r="L85" s="9" t="s">
        <v>225</v>
      </c>
      <c r="M85" s="9" t="s">
        <v>225</v>
      </c>
      <c r="O85" s="22" t="s">
        <v>499</v>
      </c>
      <c r="P85" s="23" t="s">
        <v>43</v>
      </c>
      <c r="Q85" s="23" t="s">
        <v>226</v>
      </c>
      <c r="R85" s="23" t="s">
        <v>225</v>
      </c>
      <c r="S85" s="24" t="s">
        <v>225</v>
      </c>
    </row>
    <row r="86" spans="1:19" ht="15.75" hidden="1" customHeight="1" x14ac:dyDescent="0.2">
      <c r="A86" s="9"/>
      <c r="B86" s="10"/>
      <c r="C86" s="9"/>
      <c r="D86" s="9"/>
      <c r="E86" s="33" t="s">
        <v>500</v>
      </c>
      <c r="F86" s="34" t="s">
        <v>501</v>
      </c>
      <c r="G86" s="35" t="s">
        <v>375</v>
      </c>
      <c r="H86" s="9"/>
      <c r="I86" s="9" t="s">
        <v>502</v>
      </c>
      <c r="J86" s="9" t="s">
        <v>43</v>
      </c>
      <c r="K86" s="9" t="s">
        <v>225</v>
      </c>
      <c r="L86" s="9" t="s">
        <v>225</v>
      </c>
      <c r="M86" s="9" t="s">
        <v>225</v>
      </c>
      <c r="O86" s="22" t="s">
        <v>502</v>
      </c>
      <c r="P86" s="23" t="s">
        <v>43</v>
      </c>
      <c r="Q86" s="23" t="s">
        <v>225</v>
      </c>
      <c r="R86" s="23" t="s">
        <v>225</v>
      </c>
      <c r="S86" s="24" t="s">
        <v>225</v>
      </c>
    </row>
    <row r="87" spans="1:19" ht="15.75" hidden="1" customHeight="1" x14ac:dyDescent="0.2">
      <c r="A87" s="9"/>
      <c r="B87" s="10"/>
      <c r="C87" s="9"/>
      <c r="D87" s="9"/>
      <c r="E87" s="33" t="s">
        <v>503</v>
      </c>
      <c r="F87" s="34" t="s">
        <v>315</v>
      </c>
      <c r="G87" s="35" t="s">
        <v>316</v>
      </c>
      <c r="H87" s="9"/>
      <c r="I87" s="9" t="s">
        <v>504</v>
      </c>
      <c r="J87" s="9" t="s">
        <v>43</v>
      </c>
      <c r="K87" s="9" t="s">
        <v>226</v>
      </c>
      <c r="L87" s="9" t="s">
        <v>225</v>
      </c>
      <c r="M87" s="9" t="s">
        <v>225</v>
      </c>
      <c r="O87" s="22" t="s">
        <v>504</v>
      </c>
      <c r="P87" s="23" t="s">
        <v>43</v>
      </c>
      <c r="Q87" s="23" t="s">
        <v>226</v>
      </c>
      <c r="R87" s="23" t="s">
        <v>225</v>
      </c>
      <c r="S87" s="24" t="s">
        <v>225</v>
      </c>
    </row>
    <row r="88" spans="1:19" ht="15.75" hidden="1" customHeight="1" x14ac:dyDescent="0.2">
      <c r="A88" s="9"/>
      <c r="B88" s="10"/>
      <c r="C88" s="9"/>
      <c r="D88" s="9"/>
      <c r="E88" s="33" t="s">
        <v>505</v>
      </c>
      <c r="F88" s="34" t="s">
        <v>348</v>
      </c>
      <c r="G88" s="35" t="s">
        <v>349</v>
      </c>
      <c r="H88" s="9"/>
      <c r="I88" s="9" t="s">
        <v>506</v>
      </c>
      <c r="J88" s="9" t="s">
        <v>43</v>
      </c>
      <c r="K88" s="9" t="s">
        <v>226</v>
      </c>
      <c r="L88" s="9" t="s">
        <v>225</v>
      </c>
      <c r="M88" s="9" t="s">
        <v>225</v>
      </c>
      <c r="O88" s="22" t="s">
        <v>506</v>
      </c>
      <c r="P88" s="23" t="s">
        <v>43</v>
      </c>
      <c r="Q88" s="23" t="s">
        <v>226</v>
      </c>
      <c r="R88" s="23" t="s">
        <v>225</v>
      </c>
      <c r="S88" s="24" t="s">
        <v>225</v>
      </c>
    </row>
    <row r="89" spans="1:19" ht="15.75" hidden="1" customHeight="1" x14ac:dyDescent="0.2">
      <c r="A89" s="9"/>
      <c r="B89" s="10"/>
      <c r="C89" s="9"/>
      <c r="D89" s="9"/>
      <c r="E89" s="33" t="s">
        <v>507</v>
      </c>
      <c r="F89" s="34" t="s">
        <v>508</v>
      </c>
      <c r="G89" s="35" t="s">
        <v>509</v>
      </c>
      <c r="H89" s="9"/>
      <c r="I89" s="9" t="s">
        <v>510</v>
      </c>
      <c r="J89" s="9" t="s">
        <v>33</v>
      </c>
      <c r="K89" s="9" t="s">
        <v>225</v>
      </c>
      <c r="L89" s="9" t="s">
        <v>226</v>
      </c>
      <c r="M89" s="9" t="s">
        <v>225</v>
      </c>
      <c r="O89" s="22" t="s">
        <v>510</v>
      </c>
      <c r="P89" s="23" t="s">
        <v>33</v>
      </c>
      <c r="Q89" s="23" t="s">
        <v>225</v>
      </c>
      <c r="R89" s="23" t="s">
        <v>226</v>
      </c>
      <c r="S89" s="24" t="s">
        <v>225</v>
      </c>
    </row>
    <row r="90" spans="1:19" ht="15.75" hidden="1" customHeight="1" x14ac:dyDescent="0.2">
      <c r="A90" s="9"/>
      <c r="B90" s="10"/>
      <c r="C90" s="9"/>
      <c r="D90" s="9"/>
      <c r="E90" s="33" t="s">
        <v>511</v>
      </c>
      <c r="F90" s="34" t="s">
        <v>512</v>
      </c>
      <c r="G90" s="35" t="s">
        <v>509</v>
      </c>
      <c r="H90" s="9"/>
      <c r="I90" s="9" t="s">
        <v>513</v>
      </c>
      <c r="J90" s="9" t="s">
        <v>33</v>
      </c>
      <c r="K90" s="9" t="s">
        <v>226</v>
      </c>
      <c r="L90" s="9" t="s">
        <v>226</v>
      </c>
      <c r="M90" s="9" t="s">
        <v>225</v>
      </c>
      <c r="O90" s="22" t="s">
        <v>513</v>
      </c>
      <c r="P90" s="23" t="s">
        <v>33</v>
      </c>
      <c r="Q90" s="23" t="s">
        <v>226</v>
      </c>
      <c r="R90" s="23" t="s">
        <v>226</v>
      </c>
      <c r="S90" s="24" t="s">
        <v>225</v>
      </c>
    </row>
    <row r="91" spans="1:19" ht="15.75" hidden="1" customHeight="1" x14ac:dyDescent="0.2">
      <c r="A91" s="9"/>
      <c r="B91" s="10"/>
      <c r="C91" s="9"/>
      <c r="D91" s="9"/>
      <c r="E91" s="33" t="s">
        <v>514</v>
      </c>
      <c r="F91" s="34" t="s">
        <v>515</v>
      </c>
      <c r="G91" s="35" t="s">
        <v>509</v>
      </c>
      <c r="H91" s="9"/>
      <c r="I91" s="9" t="s">
        <v>516</v>
      </c>
      <c r="J91" s="9" t="s">
        <v>33</v>
      </c>
      <c r="K91" s="9" t="s">
        <v>226</v>
      </c>
      <c r="L91" s="9" t="s">
        <v>226</v>
      </c>
      <c r="M91" s="9" t="s">
        <v>225</v>
      </c>
      <c r="O91" s="22" t="s">
        <v>516</v>
      </c>
      <c r="P91" s="23" t="s">
        <v>33</v>
      </c>
      <c r="Q91" s="23" t="s">
        <v>226</v>
      </c>
      <c r="R91" s="23" t="s">
        <v>226</v>
      </c>
      <c r="S91" s="24" t="s">
        <v>225</v>
      </c>
    </row>
    <row r="92" spans="1:19" ht="15.75" customHeight="1" x14ac:dyDescent="0.2">
      <c r="A92" s="9"/>
      <c r="B92" s="10"/>
      <c r="C92" s="9"/>
      <c r="D92" s="9"/>
      <c r="E92" s="14" t="s">
        <v>82</v>
      </c>
      <c r="F92" s="15" t="s">
        <v>517</v>
      </c>
      <c r="G92" s="16" t="s">
        <v>223</v>
      </c>
      <c r="H92" s="9"/>
      <c r="I92" s="9" t="s">
        <v>518</v>
      </c>
      <c r="J92" s="9" t="s">
        <v>33</v>
      </c>
      <c r="K92" s="9" t="s">
        <v>226</v>
      </c>
      <c r="L92" s="9" t="s">
        <v>226</v>
      </c>
      <c r="M92" s="9" t="s">
        <v>225</v>
      </c>
      <c r="O92" s="22" t="s">
        <v>518</v>
      </c>
      <c r="P92" s="23" t="s">
        <v>33</v>
      </c>
      <c r="Q92" s="23" t="s">
        <v>226</v>
      </c>
      <c r="R92" s="23" t="s">
        <v>226</v>
      </c>
      <c r="S92" s="24" t="s">
        <v>225</v>
      </c>
    </row>
    <row r="93" spans="1:19" ht="15.75" customHeight="1" x14ac:dyDescent="0.2">
      <c r="A93" s="9"/>
      <c r="B93" s="10"/>
      <c r="C93" s="9"/>
      <c r="D93" s="9"/>
      <c r="E93" s="14" t="s">
        <v>95</v>
      </c>
      <c r="F93" s="15" t="s">
        <v>339</v>
      </c>
      <c r="G93" s="16" t="s">
        <v>223</v>
      </c>
      <c r="H93" s="9"/>
      <c r="I93" s="9" t="s">
        <v>519</v>
      </c>
      <c r="J93" s="9" t="s">
        <v>43</v>
      </c>
      <c r="K93" s="9" t="s">
        <v>226</v>
      </c>
      <c r="L93" s="9" t="s">
        <v>226</v>
      </c>
      <c r="M93" s="9" t="s">
        <v>225</v>
      </c>
      <c r="O93" s="22" t="s">
        <v>519</v>
      </c>
      <c r="P93" s="23" t="s">
        <v>43</v>
      </c>
      <c r="Q93" s="23" t="s">
        <v>226</v>
      </c>
      <c r="R93" s="23" t="s">
        <v>226</v>
      </c>
      <c r="S93" s="24" t="s">
        <v>225</v>
      </c>
    </row>
    <row r="94" spans="1:19" ht="15.75" customHeight="1" x14ac:dyDescent="0.2">
      <c r="A94" s="9"/>
      <c r="B94" s="10"/>
      <c r="C94" s="9"/>
      <c r="D94" s="9"/>
      <c r="E94" s="14" t="s">
        <v>520</v>
      </c>
      <c r="F94" s="15" t="s">
        <v>521</v>
      </c>
      <c r="G94" s="16" t="s">
        <v>223</v>
      </c>
      <c r="H94" s="9"/>
      <c r="I94" s="9" t="s">
        <v>522</v>
      </c>
      <c r="J94" s="9" t="s">
        <v>43</v>
      </c>
      <c r="K94" s="9" t="s">
        <v>226</v>
      </c>
      <c r="L94" s="9" t="s">
        <v>226</v>
      </c>
      <c r="M94" s="9" t="s">
        <v>225</v>
      </c>
      <c r="O94" s="22" t="s">
        <v>522</v>
      </c>
      <c r="P94" s="23" t="s">
        <v>43</v>
      </c>
      <c r="Q94" s="23" t="s">
        <v>226</v>
      </c>
      <c r="R94" s="23" t="s">
        <v>226</v>
      </c>
      <c r="S94" s="24" t="s">
        <v>225</v>
      </c>
    </row>
    <row r="95" spans="1:19" ht="15.75" customHeight="1" x14ac:dyDescent="0.2">
      <c r="A95" s="9"/>
      <c r="B95" s="10"/>
      <c r="C95" s="9"/>
      <c r="D95" s="9"/>
      <c r="E95" s="14" t="s">
        <v>523</v>
      </c>
      <c r="F95" s="15" t="s">
        <v>524</v>
      </c>
      <c r="G95" s="16" t="s">
        <v>525</v>
      </c>
      <c r="H95" s="9"/>
      <c r="I95" s="9" t="s">
        <v>526</v>
      </c>
      <c r="J95" s="9" t="s">
        <v>33</v>
      </c>
      <c r="K95" s="9" t="s">
        <v>225</v>
      </c>
      <c r="L95" s="9" t="s">
        <v>226</v>
      </c>
      <c r="M95" s="9" t="s">
        <v>225</v>
      </c>
      <c r="O95" s="22" t="s">
        <v>526</v>
      </c>
      <c r="P95" s="23" t="s">
        <v>33</v>
      </c>
      <c r="Q95" s="23" t="s">
        <v>225</v>
      </c>
      <c r="R95" s="23" t="s">
        <v>226</v>
      </c>
      <c r="S95" s="24" t="s">
        <v>225</v>
      </c>
    </row>
    <row r="96" spans="1:19" ht="15.75" customHeight="1" x14ac:dyDescent="0.2">
      <c r="A96" s="9"/>
      <c r="B96" s="10"/>
      <c r="C96" s="9"/>
      <c r="D96" s="9"/>
      <c r="E96" s="14" t="s">
        <v>527</v>
      </c>
      <c r="F96" s="15" t="s">
        <v>528</v>
      </c>
      <c r="G96" s="16" t="s">
        <v>223</v>
      </c>
      <c r="H96" s="9"/>
      <c r="I96" s="9" t="s">
        <v>529</v>
      </c>
      <c r="J96" s="9" t="s">
        <v>33</v>
      </c>
      <c r="K96" s="9" t="s">
        <v>226</v>
      </c>
      <c r="L96" s="9" t="s">
        <v>226</v>
      </c>
      <c r="M96" s="9" t="s">
        <v>225</v>
      </c>
      <c r="O96" s="22" t="s">
        <v>529</v>
      </c>
      <c r="P96" s="23" t="s">
        <v>33</v>
      </c>
      <c r="Q96" s="23" t="s">
        <v>226</v>
      </c>
      <c r="R96" s="23" t="s">
        <v>226</v>
      </c>
      <c r="S96" s="24" t="s">
        <v>225</v>
      </c>
    </row>
    <row r="97" spans="1:19" ht="15.75" customHeight="1" x14ac:dyDescent="0.2">
      <c r="A97" s="9"/>
      <c r="B97" s="10"/>
      <c r="C97" s="9"/>
      <c r="D97" s="9"/>
      <c r="E97" s="14" t="s">
        <v>530</v>
      </c>
      <c r="F97" s="15" t="s">
        <v>531</v>
      </c>
      <c r="G97" s="16" t="s">
        <v>532</v>
      </c>
      <c r="H97" s="9"/>
      <c r="I97" s="9" t="s">
        <v>533</v>
      </c>
      <c r="J97" s="9" t="s">
        <v>33</v>
      </c>
      <c r="K97" s="9" t="s">
        <v>226</v>
      </c>
      <c r="L97" s="9" t="s">
        <v>226</v>
      </c>
      <c r="M97" s="9" t="s">
        <v>225</v>
      </c>
      <c r="O97" s="22" t="s">
        <v>533</v>
      </c>
      <c r="P97" s="23" t="s">
        <v>33</v>
      </c>
      <c r="Q97" s="23" t="s">
        <v>226</v>
      </c>
      <c r="R97" s="23" t="s">
        <v>226</v>
      </c>
      <c r="S97" s="24" t="s">
        <v>225</v>
      </c>
    </row>
    <row r="98" spans="1:19" ht="15.75" hidden="1" customHeight="1" x14ac:dyDescent="0.2">
      <c r="A98" s="9"/>
      <c r="B98" s="10"/>
      <c r="C98" s="9"/>
      <c r="D98" s="9"/>
      <c r="E98" s="14" t="s">
        <v>98</v>
      </c>
      <c r="F98" s="15" t="s">
        <v>534</v>
      </c>
      <c r="G98" s="16" t="s">
        <v>535</v>
      </c>
      <c r="H98" s="9"/>
      <c r="I98" s="9" t="s">
        <v>536</v>
      </c>
      <c r="J98" s="9" t="s">
        <v>33</v>
      </c>
      <c r="K98" s="9" t="s">
        <v>226</v>
      </c>
      <c r="L98" s="9" t="s">
        <v>226</v>
      </c>
      <c r="M98" s="9" t="s">
        <v>225</v>
      </c>
      <c r="O98" s="22" t="s">
        <v>536</v>
      </c>
      <c r="P98" s="23" t="s">
        <v>33</v>
      </c>
      <c r="Q98" s="23" t="s">
        <v>226</v>
      </c>
      <c r="R98" s="23" t="s">
        <v>226</v>
      </c>
      <c r="S98" s="24" t="s">
        <v>225</v>
      </c>
    </row>
    <row r="99" spans="1:19" ht="15.75" hidden="1" customHeight="1" x14ac:dyDescent="0.2">
      <c r="A99" s="9"/>
      <c r="B99" s="10"/>
      <c r="C99" s="9"/>
      <c r="D99" s="9"/>
      <c r="E99" s="14" t="s">
        <v>537</v>
      </c>
      <c r="F99" s="15" t="s">
        <v>538</v>
      </c>
      <c r="G99" s="16" t="s">
        <v>223</v>
      </c>
      <c r="H99" s="9"/>
      <c r="I99" s="9" t="s">
        <v>539</v>
      </c>
      <c r="J99" s="9" t="s">
        <v>43</v>
      </c>
      <c r="K99" s="9" t="s">
        <v>226</v>
      </c>
      <c r="L99" s="9" t="s">
        <v>226</v>
      </c>
      <c r="M99" s="9" t="s">
        <v>225</v>
      </c>
      <c r="O99" s="22" t="s">
        <v>539</v>
      </c>
      <c r="P99" s="23" t="s">
        <v>43</v>
      </c>
      <c r="Q99" s="23" t="s">
        <v>226</v>
      </c>
      <c r="R99" s="23" t="s">
        <v>226</v>
      </c>
      <c r="S99" s="24" t="s">
        <v>225</v>
      </c>
    </row>
    <row r="100" spans="1:19" ht="15.75" hidden="1" customHeight="1" x14ac:dyDescent="0.2">
      <c r="A100" s="9"/>
      <c r="B100" s="10"/>
      <c r="C100" s="9"/>
      <c r="D100" s="9"/>
      <c r="E100" s="14" t="s">
        <v>540</v>
      </c>
      <c r="F100" s="15" t="s">
        <v>541</v>
      </c>
      <c r="G100" s="16" t="s">
        <v>542</v>
      </c>
      <c r="H100" s="9"/>
      <c r="I100" s="9" t="s">
        <v>543</v>
      </c>
      <c r="J100" s="9" t="s">
        <v>43</v>
      </c>
      <c r="K100" s="9" t="s">
        <v>226</v>
      </c>
      <c r="L100" s="9" t="s">
        <v>226</v>
      </c>
      <c r="M100" s="9" t="s">
        <v>225</v>
      </c>
      <c r="O100" s="22" t="s">
        <v>543</v>
      </c>
      <c r="P100" s="23" t="s">
        <v>43</v>
      </c>
      <c r="Q100" s="23" t="s">
        <v>226</v>
      </c>
      <c r="R100" s="23" t="s">
        <v>226</v>
      </c>
      <c r="S100" s="24" t="s">
        <v>225</v>
      </c>
    </row>
    <row r="101" spans="1:19" ht="15.75" hidden="1" customHeight="1" x14ac:dyDescent="0.2">
      <c r="A101" s="9"/>
      <c r="B101" s="10"/>
      <c r="C101" s="9"/>
      <c r="D101" s="9"/>
      <c r="E101" s="14" t="s">
        <v>544</v>
      </c>
      <c r="F101" s="15" t="s">
        <v>545</v>
      </c>
      <c r="G101" s="16" t="s">
        <v>546</v>
      </c>
      <c r="H101" s="9"/>
      <c r="I101" s="9" t="s">
        <v>547</v>
      </c>
      <c r="J101" s="9" t="s">
        <v>33</v>
      </c>
      <c r="K101" s="9" t="s">
        <v>225</v>
      </c>
      <c r="L101" s="9" t="s">
        <v>225</v>
      </c>
      <c r="M101" s="9" t="s">
        <v>226</v>
      </c>
      <c r="O101" s="22" t="s">
        <v>547</v>
      </c>
      <c r="P101" s="23" t="s">
        <v>33</v>
      </c>
      <c r="Q101" s="23" t="s">
        <v>225</v>
      </c>
      <c r="R101" s="23" t="s">
        <v>225</v>
      </c>
      <c r="S101" s="24" t="s">
        <v>226</v>
      </c>
    </row>
    <row r="102" spans="1:19" ht="15.75" hidden="1" customHeight="1" x14ac:dyDescent="0.2">
      <c r="A102" s="9"/>
      <c r="B102" s="10"/>
      <c r="C102" s="9"/>
      <c r="D102" s="9"/>
      <c r="E102" s="14" t="s">
        <v>548</v>
      </c>
      <c r="F102" s="15" t="s">
        <v>549</v>
      </c>
      <c r="G102" s="16" t="s">
        <v>542</v>
      </c>
      <c r="H102" s="9"/>
      <c r="I102" s="9" t="s">
        <v>550</v>
      </c>
      <c r="J102" s="9" t="s">
        <v>43</v>
      </c>
      <c r="K102" s="9" t="s">
        <v>226</v>
      </c>
      <c r="L102" s="9" t="s">
        <v>225</v>
      </c>
      <c r="M102" s="9" t="s">
        <v>226</v>
      </c>
      <c r="O102" s="22" t="s">
        <v>550</v>
      </c>
      <c r="P102" s="23" t="s">
        <v>43</v>
      </c>
      <c r="Q102" s="23" t="s">
        <v>226</v>
      </c>
      <c r="R102" s="23" t="s">
        <v>225</v>
      </c>
      <c r="S102" s="24" t="s">
        <v>226</v>
      </c>
    </row>
    <row r="103" spans="1:19" ht="15.75" hidden="1" customHeight="1" x14ac:dyDescent="0.2">
      <c r="A103" s="9"/>
      <c r="B103" s="10"/>
      <c r="C103" s="9"/>
      <c r="D103" s="9"/>
      <c r="E103" s="14" t="s">
        <v>551</v>
      </c>
      <c r="F103" s="15" t="s">
        <v>552</v>
      </c>
      <c r="G103" s="16" t="s">
        <v>553</v>
      </c>
      <c r="H103" s="9"/>
      <c r="I103" s="9" t="s">
        <v>554</v>
      </c>
      <c r="J103" s="9" t="s">
        <v>43</v>
      </c>
      <c r="K103" s="9" t="s">
        <v>225</v>
      </c>
      <c r="L103" s="9" t="s">
        <v>225</v>
      </c>
      <c r="M103" s="9" t="s">
        <v>226</v>
      </c>
      <c r="O103" s="22" t="s">
        <v>554</v>
      </c>
      <c r="P103" s="23" t="s">
        <v>43</v>
      </c>
      <c r="Q103" s="23" t="s">
        <v>225</v>
      </c>
      <c r="R103" s="23" t="s">
        <v>225</v>
      </c>
      <c r="S103" s="24" t="s">
        <v>226</v>
      </c>
    </row>
    <row r="104" spans="1:19" ht="15.75" hidden="1" customHeight="1" x14ac:dyDescent="0.2">
      <c r="A104" s="9"/>
      <c r="B104" s="10"/>
      <c r="C104" s="9"/>
      <c r="D104" s="9"/>
      <c r="E104" s="14" t="s">
        <v>555</v>
      </c>
      <c r="F104" s="15" t="s">
        <v>556</v>
      </c>
      <c r="G104" s="16" t="s">
        <v>553</v>
      </c>
      <c r="H104" s="9"/>
      <c r="I104" s="9" t="s">
        <v>557</v>
      </c>
      <c r="J104" s="9" t="s">
        <v>43</v>
      </c>
      <c r="K104" s="9" t="s">
        <v>225</v>
      </c>
      <c r="L104" s="9" t="s">
        <v>225</v>
      </c>
      <c r="M104" s="9" t="s">
        <v>226</v>
      </c>
      <c r="O104" s="22" t="s">
        <v>557</v>
      </c>
      <c r="P104" s="23" t="s">
        <v>43</v>
      </c>
      <c r="Q104" s="23" t="s">
        <v>225</v>
      </c>
      <c r="R104" s="23" t="s">
        <v>225</v>
      </c>
      <c r="S104" s="24" t="s">
        <v>226</v>
      </c>
    </row>
    <row r="105" spans="1:19" ht="15.75" hidden="1" customHeight="1" x14ac:dyDescent="0.2">
      <c r="A105" s="9"/>
      <c r="B105" s="10"/>
      <c r="C105" s="9"/>
      <c r="D105" s="9"/>
      <c r="E105" s="14" t="s">
        <v>558</v>
      </c>
      <c r="F105" s="15" t="s">
        <v>559</v>
      </c>
      <c r="G105" s="16" t="s">
        <v>560</v>
      </c>
      <c r="H105" s="9"/>
      <c r="I105" s="9" t="s">
        <v>561</v>
      </c>
      <c r="J105" s="9" t="s">
        <v>33</v>
      </c>
      <c r="K105" s="9" t="s">
        <v>225</v>
      </c>
      <c r="L105" s="9" t="s">
        <v>225</v>
      </c>
      <c r="M105" s="9" t="s">
        <v>226</v>
      </c>
      <c r="O105" s="22" t="s">
        <v>561</v>
      </c>
      <c r="P105" s="23" t="s">
        <v>33</v>
      </c>
      <c r="Q105" s="23" t="s">
        <v>225</v>
      </c>
      <c r="R105" s="23" t="s">
        <v>225</v>
      </c>
      <c r="S105" s="24" t="s">
        <v>226</v>
      </c>
    </row>
    <row r="106" spans="1:19" ht="15.75" hidden="1" customHeight="1" x14ac:dyDescent="0.2">
      <c r="A106" s="9"/>
      <c r="B106" s="10"/>
      <c r="C106" s="9"/>
      <c r="D106" s="9"/>
      <c r="E106" s="14" t="s">
        <v>562</v>
      </c>
      <c r="F106" s="15" t="s">
        <v>563</v>
      </c>
      <c r="G106" s="16" t="s">
        <v>560</v>
      </c>
      <c r="H106" s="9"/>
      <c r="I106" s="9" t="s">
        <v>564</v>
      </c>
      <c r="J106" s="9" t="s">
        <v>33</v>
      </c>
      <c r="K106" s="9" t="s">
        <v>225</v>
      </c>
      <c r="L106" s="9" t="s">
        <v>225</v>
      </c>
      <c r="M106" s="9" t="s">
        <v>225</v>
      </c>
      <c r="O106" s="22" t="s">
        <v>564</v>
      </c>
      <c r="P106" s="23" t="s">
        <v>33</v>
      </c>
      <c r="Q106" s="23" t="s">
        <v>225</v>
      </c>
      <c r="R106" s="23" t="s">
        <v>225</v>
      </c>
      <c r="S106" s="24" t="s">
        <v>225</v>
      </c>
    </row>
    <row r="107" spans="1:19" ht="15.75" hidden="1" customHeight="1" x14ac:dyDescent="0.2">
      <c r="A107" s="9"/>
      <c r="B107" s="10"/>
      <c r="C107" s="9"/>
      <c r="D107" s="9"/>
      <c r="E107" s="14" t="s">
        <v>565</v>
      </c>
      <c r="F107" s="15" t="s">
        <v>566</v>
      </c>
      <c r="G107" s="16" t="s">
        <v>567</v>
      </c>
      <c r="H107" s="9"/>
      <c r="I107" s="9" t="s">
        <v>568</v>
      </c>
      <c r="J107" s="9" t="s">
        <v>43</v>
      </c>
      <c r="K107" s="9" t="s">
        <v>225</v>
      </c>
      <c r="L107" s="9" t="s">
        <v>225</v>
      </c>
      <c r="M107" s="9" t="s">
        <v>226</v>
      </c>
      <c r="O107" s="22" t="s">
        <v>568</v>
      </c>
      <c r="P107" s="23" t="s">
        <v>43</v>
      </c>
      <c r="Q107" s="23" t="s">
        <v>225</v>
      </c>
      <c r="R107" s="23" t="s">
        <v>225</v>
      </c>
      <c r="S107" s="24" t="s">
        <v>226</v>
      </c>
    </row>
    <row r="108" spans="1:19" ht="15.75" hidden="1" customHeight="1" x14ac:dyDescent="0.2">
      <c r="A108" s="9"/>
      <c r="B108" s="10"/>
      <c r="C108" s="9"/>
      <c r="D108" s="9"/>
      <c r="E108" s="14" t="s">
        <v>569</v>
      </c>
      <c r="F108" s="15" t="s">
        <v>570</v>
      </c>
      <c r="G108" s="16" t="s">
        <v>360</v>
      </c>
      <c r="H108" s="9"/>
      <c r="I108" s="9" t="s">
        <v>571</v>
      </c>
      <c r="J108" s="9" t="s">
        <v>43</v>
      </c>
      <c r="K108" s="9" t="s">
        <v>225</v>
      </c>
      <c r="L108" s="9" t="s">
        <v>226</v>
      </c>
      <c r="M108" s="9" t="s">
        <v>225</v>
      </c>
      <c r="O108" s="22" t="s">
        <v>571</v>
      </c>
      <c r="P108" s="23" t="s">
        <v>43</v>
      </c>
      <c r="Q108" s="23" t="s">
        <v>225</v>
      </c>
      <c r="R108" s="23" t="s">
        <v>226</v>
      </c>
      <c r="S108" s="24" t="s">
        <v>225</v>
      </c>
    </row>
    <row r="109" spans="1:19" ht="15.75" hidden="1" customHeight="1" x14ac:dyDescent="0.2">
      <c r="A109" s="9"/>
      <c r="B109" s="10"/>
      <c r="C109" s="9"/>
      <c r="D109" s="9"/>
      <c r="E109" s="14" t="s">
        <v>572</v>
      </c>
      <c r="F109" s="15" t="s">
        <v>573</v>
      </c>
      <c r="G109" s="16" t="s">
        <v>360</v>
      </c>
      <c r="H109" s="9"/>
      <c r="I109" s="9" t="s">
        <v>574</v>
      </c>
      <c r="J109" s="9" t="s">
        <v>43</v>
      </c>
      <c r="K109" s="9" t="s">
        <v>226</v>
      </c>
      <c r="L109" s="9" t="s">
        <v>226</v>
      </c>
      <c r="M109" s="9" t="s">
        <v>225</v>
      </c>
      <c r="O109" s="22" t="s">
        <v>574</v>
      </c>
      <c r="P109" s="23" t="s">
        <v>43</v>
      </c>
      <c r="Q109" s="23" t="s">
        <v>226</v>
      </c>
      <c r="R109" s="23" t="s">
        <v>226</v>
      </c>
      <c r="S109" s="24" t="s">
        <v>225</v>
      </c>
    </row>
    <row r="110" spans="1:19" ht="15.75" hidden="1" customHeight="1" x14ac:dyDescent="0.2">
      <c r="A110" s="9"/>
      <c r="B110" s="10"/>
      <c r="C110" s="9"/>
      <c r="D110" s="9"/>
      <c r="E110" s="14" t="s">
        <v>575</v>
      </c>
      <c r="F110" s="15" t="s">
        <v>576</v>
      </c>
      <c r="G110" s="16" t="s">
        <v>577</v>
      </c>
      <c r="H110" s="9"/>
      <c r="I110" s="9" t="s">
        <v>578</v>
      </c>
      <c r="J110" s="9" t="s">
        <v>43</v>
      </c>
      <c r="K110" s="9" t="s">
        <v>226</v>
      </c>
      <c r="L110" s="9" t="s">
        <v>226</v>
      </c>
      <c r="M110" s="9" t="s">
        <v>225</v>
      </c>
      <c r="O110" s="22" t="s">
        <v>578</v>
      </c>
      <c r="P110" s="23" t="s">
        <v>43</v>
      </c>
      <c r="Q110" s="23" t="s">
        <v>226</v>
      </c>
      <c r="R110" s="23" t="s">
        <v>226</v>
      </c>
      <c r="S110" s="24" t="s">
        <v>225</v>
      </c>
    </row>
    <row r="111" spans="1:19" ht="15.75" hidden="1" customHeight="1" x14ac:dyDescent="0.2">
      <c r="A111" s="9"/>
      <c r="B111" s="10"/>
      <c r="C111" s="9"/>
      <c r="D111" s="9"/>
      <c r="E111" s="14" t="s">
        <v>579</v>
      </c>
      <c r="F111" s="15" t="s">
        <v>580</v>
      </c>
      <c r="G111" s="16" t="s">
        <v>581</v>
      </c>
      <c r="H111" s="9"/>
      <c r="I111" s="9" t="s">
        <v>582</v>
      </c>
      <c r="J111" s="9" t="s">
        <v>33</v>
      </c>
      <c r="K111" s="9" t="s">
        <v>225</v>
      </c>
      <c r="L111" s="9" t="s">
        <v>225</v>
      </c>
      <c r="M111" s="9" t="s">
        <v>226</v>
      </c>
      <c r="O111" s="22" t="s">
        <v>582</v>
      </c>
      <c r="P111" s="23" t="s">
        <v>33</v>
      </c>
      <c r="Q111" s="23" t="s">
        <v>225</v>
      </c>
      <c r="R111" s="23" t="s">
        <v>225</v>
      </c>
      <c r="S111" s="24" t="s">
        <v>226</v>
      </c>
    </row>
    <row r="112" spans="1:19" ht="15.75" hidden="1" customHeight="1" x14ac:dyDescent="0.2">
      <c r="A112" s="9"/>
      <c r="B112" s="10"/>
      <c r="C112" s="9"/>
      <c r="D112" s="9"/>
      <c r="E112" s="14" t="s">
        <v>583</v>
      </c>
      <c r="F112" s="15" t="s">
        <v>584</v>
      </c>
      <c r="G112" s="16" t="s">
        <v>581</v>
      </c>
      <c r="H112" s="9"/>
      <c r="I112" s="9" t="s">
        <v>585</v>
      </c>
      <c r="J112" s="9" t="s">
        <v>33</v>
      </c>
      <c r="K112" s="9" t="s">
        <v>225</v>
      </c>
      <c r="L112" s="9" t="s">
        <v>225</v>
      </c>
      <c r="M112" s="9" t="s">
        <v>226</v>
      </c>
      <c r="O112" s="22" t="s">
        <v>585</v>
      </c>
      <c r="P112" s="23" t="s">
        <v>33</v>
      </c>
      <c r="Q112" s="23" t="s">
        <v>225</v>
      </c>
      <c r="R112" s="23" t="s">
        <v>225</v>
      </c>
      <c r="S112" s="24" t="s">
        <v>226</v>
      </c>
    </row>
    <row r="113" spans="1:19" ht="15.75" hidden="1" customHeight="1" x14ac:dyDescent="0.2">
      <c r="A113" s="9"/>
      <c r="B113" s="10"/>
      <c r="C113" s="9"/>
      <c r="D113" s="9"/>
      <c r="E113" s="14" t="s">
        <v>586</v>
      </c>
      <c r="F113" s="15" t="s">
        <v>587</v>
      </c>
      <c r="G113" s="16" t="s">
        <v>581</v>
      </c>
      <c r="H113" s="9"/>
      <c r="I113" s="9" t="s">
        <v>588</v>
      </c>
      <c r="J113" s="9" t="s">
        <v>33</v>
      </c>
      <c r="K113" s="9" t="s">
        <v>226</v>
      </c>
      <c r="L113" s="9" t="s">
        <v>225</v>
      </c>
      <c r="M113" s="9" t="s">
        <v>226</v>
      </c>
      <c r="O113" s="22" t="s">
        <v>588</v>
      </c>
      <c r="P113" s="23" t="s">
        <v>33</v>
      </c>
      <c r="Q113" s="23" t="s">
        <v>226</v>
      </c>
      <c r="R113" s="23" t="s">
        <v>225</v>
      </c>
      <c r="S113" s="24" t="s">
        <v>226</v>
      </c>
    </row>
    <row r="114" spans="1:19" ht="15.75" hidden="1" customHeight="1" x14ac:dyDescent="0.2">
      <c r="A114" s="9"/>
      <c r="B114" s="10"/>
      <c r="C114" s="9"/>
      <c r="D114" s="9"/>
      <c r="E114" s="14" t="s">
        <v>589</v>
      </c>
      <c r="F114" s="15" t="s">
        <v>590</v>
      </c>
      <c r="G114" s="16" t="s">
        <v>591</v>
      </c>
      <c r="H114" s="9"/>
      <c r="I114" s="9" t="s">
        <v>592</v>
      </c>
      <c r="J114" s="9" t="s">
        <v>43</v>
      </c>
      <c r="K114" s="9" t="s">
        <v>225</v>
      </c>
      <c r="L114" s="9" t="s">
        <v>225</v>
      </c>
      <c r="M114" s="9" t="s">
        <v>225</v>
      </c>
      <c r="O114" s="22" t="s">
        <v>592</v>
      </c>
      <c r="P114" s="23" t="s">
        <v>43</v>
      </c>
      <c r="Q114" s="23" t="s">
        <v>225</v>
      </c>
      <c r="R114" s="23" t="s">
        <v>225</v>
      </c>
      <c r="S114" s="24" t="s">
        <v>225</v>
      </c>
    </row>
    <row r="115" spans="1:19" ht="15.75" hidden="1" customHeight="1" x14ac:dyDescent="0.2">
      <c r="A115" s="9"/>
      <c r="B115" s="10"/>
      <c r="C115" s="9"/>
      <c r="D115" s="9"/>
      <c r="E115" s="14" t="s">
        <v>593</v>
      </c>
      <c r="F115" s="15" t="s">
        <v>594</v>
      </c>
      <c r="G115" s="16" t="s">
        <v>236</v>
      </c>
      <c r="H115" s="9"/>
      <c r="I115" s="9" t="s">
        <v>595</v>
      </c>
      <c r="J115" s="9" t="s">
        <v>43</v>
      </c>
      <c r="K115" s="9" t="s">
        <v>225</v>
      </c>
      <c r="L115" s="9" t="s">
        <v>225</v>
      </c>
      <c r="M115" s="9" t="s">
        <v>225</v>
      </c>
      <c r="O115" s="22" t="s">
        <v>595</v>
      </c>
      <c r="P115" s="23" t="s">
        <v>43</v>
      </c>
      <c r="Q115" s="23" t="s">
        <v>225</v>
      </c>
      <c r="R115" s="23" t="s">
        <v>225</v>
      </c>
      <c r="S115" s="24" t="s">
        <v>225</v>
      </c>
    </row>
    <row r="116" spans="1:19" ht="15.75" hidden="1" customHeight="1" x14ac:dyDescent="0.2">
      <c r="A116" s="9"/>
      <c r="B116" s="10"/>
      <c r="C116" s="9"/>
      <c r="D116" s="9"/>
      <c r="E116" s="14" t="s">
        <v>596</v>
      </c>
      <c r="F116" s="15" t="s">
        <v>597</v>
      </c>
      <c r="G116" s="16" t="s">
        <v>598</v>
      </c>
      <c r="H116" s="9"/>
      <c r="I116" s="9" t="s">
        <v>599</v>
      </c>
      <c r="J116" s="9" t="s">
        <v>43</v>
      </c>
      <c r="K116" s="9" t="s">
        <v>225</v>
      </c>
      <c r="L116" s="9" t="s">
        <v>225</v>
      </c>
      <c r="M116" s="9" t="s">
        <v>226</v>
      </c>
      <c r="O116" s="22" t="s">
        <v>599</v>
      </c>
      <c r="P116" s="23" t="s">
        <v>43</v>
      </c>
      <c r="Q116" s="23" t="s">
        <v>225</v>
      </c>
      <c r="R116" s="23" t="s">
        <v>225</v>
      </c>
      <c r="S116" s="24" t="s">
        <v>226</v>
      </c>
    </row>
    <row r="117" spans="1:19" ht="15.75" hidden="1" customHeight="1" x14ac:dyDescent="0.2">
      <c r="A117" s="9"/>
      <c r="B117" s="10"/>
      <c r="C117" s="9"/>
      <c r="D117" s="9"/>
      <c r="E117" s="14" t="s">
        <v>600</v>
      </c>
      <c r="F117" s="15" t="s">
        <v>601</v>
      </c>
      <c r="G117" s="16" t="s">
        <v>602</v>
      </c>
      <c r="H117" s="9"/>
      <c r="I117" s="9" t="s">
        <v>603</v>
      </c>
      <c r="J117" s="9" t="s">
        <v>43</v>
      </c>
      <c r="K117" s="9" t="s">
        <v>225</v>
      </c>
      <c r="L117" s="9" t="s">
        <v>225</v>
      </c>
      <c r="M117" s="9" t="s">
        <v>226</v>
      </c>
      <c r="O117" s="22" t="s">
        <v>603</v>
      </c>
      <c r="P117" s="23" t="s">
        <v>43</v>
      </c>
      <c r="Q117" s="23" t="s">
        <v>225</v>
      </c>
      <c r="R117" s="23" t="s">
        <v>225</v>
      </c>
      <c r="S117" s="24" t="s">
        <v>226</v>
      </c>
    </row>
    <row r="118" spans="1:19" ht="15.75" hidden="1" customHeight="1" x14ac:dyDescent="0.2">
      <c r="A118" s="9"/>
      <c r="B118" s="10"/>
      <c r="C118" s="9"/>
      <c r="D118" s="9"/>
      <c r="E118" s="14" t="s">
        <v>604</v>
      </c>
      <c r="F118" s="15" t="s">
        <v>605</v>
      </c>
      <c r="G118" s="16" t="s">
        <v>236</v>
      </c>
      <c r="H118" s="9"/>
      <c r="I118" s="9" t="s">
        <v>606</v>
      </c>
      <c r="J118" s="9" t="s">
        <v>43</v>
      </c>
      <c r="K118" s="9" t="s">
        <v>225</v>
      </c>
      <c r="L118" s="9" t="s">
        <v>225</v>
      </c>
      <c r="M118" s="9" t="s">
        <v>226</v>
      </c>
      <c r="O118" s="22" t="s">
        <v>606</v>
      </c>
      <c r="P118" s="23" t="s">
        <v>43</v>
      </c>
      <c r="Q118" s="23" t="s">
        <v>225</v>
      </c>
      <c r="R118" s="23" t="s">
        <v>225</v>
      </c>
      <c r="S118" s="24" t="s">
        <v>226</v>
      </c>
    </row>
    <row r="119" spans="1:19" ht="15.75" hidden="1" customHeight="1" x14ac:dyDescent="0.2">
      <c r="A119" s="9"/>
      <c r="B119" s="10"/>
      <c r="C119" s="9"/>
      <c r="D119" s="9"/>
      <c r="E119" s="14" t="s">
        <v>100</v>
      </c>
      <c r="F119" s="15" t="s">
        <v>607</v>
      </c>
      <c r="G119" s="16" t="s">
        <v>236</v>
      </c>
      <c r="H119" s="9"/>
      <c r="I119" s="9" t="s">
        <v>608</v>
      </c>
      <c r="J119" s="9" t="s">
        <v>43</v>
      </c>
      <c r="K119" s="9" t="s">
        <v>225</v>
      </c>
      <c r="L119" s="9" t="s">
        <v>225</v>
      </c>
      <c r="M119" s="9" t="s">
        <v>226</v>
      </c>
      <c r="O119" s="22" t="s">
        <v>608</v>
      </c>
      <c r="P119" s="23" t="s">
        <v>43</v>
      </c>
      <c r="Q119" s="23" t="s">
        <v>225</v>
      </c>
      <c r="R119" s="23" t="s">
        <v>225</v>
      </c>
      <c r="S119" s="24" t="s">
        <v>226</v>
      </c>
    </row>
    <row r="120" spans="1:19" ht="15.75" customHeight="1" x14ac:dyDescent="0.2">
      <c r="A120" s="9"/>
      <c r="B120" s="10"/>
      <c r="C120" s="9"/>
      <c r="D120" s="9"/>
      <c r="E120" s="14" t="s">
        <v>609</v>
      </c>
      <c r="F120" s="15" t="s">
        <v>610</v>
      </c>
      <c r="G120" s="16" t="s">
        <v>236</v>
      </c>
      <c r="H120" s="9"/>
      <c r="I120" s="9" t="s">
        <v>611</v>
      </c>
      <c r="J120" s="9" t="s">
        <v>43</v>
      </c>
      <c r="K120" s="9" t="s">
        <v>225</v>
      </c>
      <c r="L120" s="9" t="s">
        <v>225</v>
      </c>
      <c r="M120" s="9" t="s">
        <v>225</v>
      </c>
      <c r="O120" s="22" t="s">
        <v>611</v>
      </c>
      <c r="P120" s="23" t="s">
        <v>43</v>
      </c>
      <c r="Q120" s="23" t="s">
        <v>225</v>
      </c>
      <c r="R120" s="23" t="s">
        <v>225</v>
      </c>
      <c r="S120" s="24" t="s">
        <v>225</v>
      </c>
    </row>
    <row r="121" spans="1:19" ht="15.75" customHeight="1" x14ac:dyDescent="0.2">
      <c r="A121" s="9"/>
      <c r="B121" s="10"/>
      <c r="C121" s="9"/>
      <c r="D121" s="9"/>
      <c r="E121" s="14" t="s">
        <v>612</v>
      </c>
      <c r="F121" s="15" t="s">
        <v>613</v>
      </c>
      <c r="G121" s="16" t="s">
        <v>614</v>
      </c>
      <c r="H121" s="9"/>
      <c r="I121" s="9" t="s">
        <v>615</v>
      </c>
      <c r="J121" s="9" t="s">
        <v>43</v>
      </c>
      <c r="K121" s="9" t="s">
        <v>225</v>
      </c>
      <c r="L121" s="9" t="s">
        <v>225</v>
      </c>
      <c r="M121" s="9" t="s">
        <v>225</v>
      </c>
      <c r="O121" s="22" t="s">
        <v>615</v>
      </c>
      <c r="P121" s="23" t="s">
        <v>43</v>
      </c>
      <c r="Q121" s="23" t="s">
        <v>225</v>
      </c>
      <c r="R121" s="23" t="s">
        <v>225</v>
      </c>
      <c r="S121" s="24" t="s">
        <v>225</v>
      </c>
    </row>
    <row r="122" spans="1:19" ht="15.75" hidden="1" customHeight="1" x14ac:dyDescent="0.2">
      <c r="A122" s="9"/>
      <c r="B122" s="10"/>
      <c r="C122" s="9"/>
      <c r="D122" s="9"/>
      <c r="E122" s="14" t="s">
        <v>616</v>
      </c>
      <c r="F122" s="15" t="s">
        <v>617</v>
      </c>
      <c r="G122" s="16" t="s">
        <v>316</v>
      </c>
      <c r="H122" s="9"/>
      <c r="I122" s="9" t="s">
        <v>618</v>
      </c>
      <c r="J122" s="9" t="s">
        <v>43</v>
      </c>
      <c r="K122" s="9" t="s">
        <v>225</v>
      </c>
      <c r="L122" s="9" t="s">
        <v>225</v>
      </c>
      <c r="M122" s="9" t="s">
        <v>225</v>
      </c>
      <c r="O122" s="22" t="s">
        <v>618</v>
      </c>
      <c r="P122" s="23" t="s">
        <v>43</v>
      </c>
      <c r="Q122" s="23" t="s">
        <v>225</v>
      </c>
      <c r="R122" s="23" t="s">
        <v>225</v>
      </c>
      <c r="S122" s="24" t="s">
        <v>225</v>
      </c>
    </row>
    <row r="123" spans="1:19" ht="15.75" hidden="1" customHeight="1" x14ac:dyDescent="0.2">
      <c r="A123" s="9"/>
      <c r="B123" s="10"/>
      <c r="C123" s="9"/>
      <c r="D123" s="9"/>
      <c r="E123" s="14" t="s">
        <v>619</v>
      </c>
      <c r="F123" s="15" t="s">
        <v>620</v>
      </c>
      <c r="G123" s="16" t="s">
        <v>223</v>
      </c>
      <c r="H123" s="9"/>
      <c r="I123" s="9" t="s">
        <v>621</v>
      </c>
      <c r="J123" s="9" t="s">
        <v>43</v>
      </c>
      <c r="K123" s="9" t="s">
        <v>225</v>
      </c>
      <c r="L123" s="9" t="s">
        <v>225</v>
      </c>
      <c r="M123" s="9" t="s">
        <v>225</v>
      </c>
      <c r="O123" s="22" t="s">
        <v>621</v>
      </c>
      <c r="P123" s="23" t="s">
        <v>43</v>
      </c>
      <c r="Q123" s="23" t="s">
        <v>225</v>
      </c>
      <c r="R123" s="23" t="s">
        <v>225</v>
      </c>
      <c r="S123" s="24" t="s">
        <v>225</v>
      </c>
    </row>
    <row r="124" spans="1:19" ht="15.75" hidden="1" customHeight="1" x14ac:dyDescent="0.2">
      <c r="A124" s="9"/>
      <c r="B124" s="10"/>
      <c r="C124" s="9"/>
      <c r="D124" s="9"/>
      <c r="E124" s="14" t="s">
        <v>622</v>
      </c>
      <c r="F124" s="15" t="s">
        <v>623</v>
      </c>
      <c r="G124" s="16" t="s">
        <v>223</v>
      </c>
      <c r="H124" s="9"/>
      <c r="I124" s="9" t="s">
        <v>624</v>
      </c>
      <c r="J124" s="9" t="s">
        <v>43</v>
      </c>
      <c r="K124" s="9" t="s">
        <v>225</v>
      </c>
      <c r="L124" s="9" t="s">
        <v>225</v>
      </c>
      <c r="M124" s="9" t="s">
        <v>225</v>
      </c>
      <c r="O124" s="22" t="s">
        <v>624</v>
      </c>
      <c r="P124" s="23" t="s">
        <v>43</v>
      </c>
      <c r="Q124" s="23" t="s">
        <v>225</v>
      </c>
      <c r="R124" s="23" t="s">
        <v>225</v>
      </c>
      <c r="S124" s="24" t="s">
        <v>225</v>
      </c>
    </row>
    <row r="125" spans="1:19" ht="15.75" hidden="1" customHeight="1" x14ac:dyDescent="0.2">
      <c r="A125" s="9"/>
      <c r="B125" s="10"/>
      <c r="C125" s="9"/>
      <c r="D125" s="9"/>
      <c r="E125" s="14" t="s">
        <v>625</v>
      </c>
      <c r="F125" s="15" t="s">
        <v>626</v>
      </c>
      <c r="G125" s="16" t="s">
        <v>223</v>
      </c>
      <c r="H125" s="9"/>
      <c r="I125" s="9" t="s">
        <v>627</v>
      </c>
      <c r="J125" s="9" t="s">
        <v>43</v>
      </c>
      <c r="K125" s="9" t="s">
        <v>225</v>
      </c>
      <c r="L125" s="9" t="s">
        <v>225</v>
      </c>
      <c r="M125" s="9" t="s">
        <v>225</v>
      </c>
      <c r="O125" s="22" t="s">
        <v>627</v>
      </c>
      <c r="P125" s="23" t="s">
        <v>43</v>
      </c>
      <c r="Q125" s="23" t="s">
        <v>225</v>
      </c>
      <c r="R125" s="23" t="s">
        <v>225</v>
      </c>
      <c r="S125" s="24" t="s">
        <v>225</v>
      </c>
    </row>
    <row r="126" spans="1:19" ht="15.75" hidden="1" customHeight="1" x14ac:dyDescent="0.2">
      <c r="A126" s="9"/>
      <c r="B126" s="10"/>
      <c r="C126" s="9"/>
      <c r="D126" s="9"/>
      <c r="E126" s="14" t="s">
        <v>628</v>
      </c>
      <c r="F126" s="15" t="s">
        <v>629</v>
      </c>
      <c r="G126" s="16" t="s">
        <v>223</v>
      </c>
      <c r="H126" s="9"/>
      <c r="I126" s="9" t="s">
        <v>630</v>
      </c>
      <c r="J126" s="9" t="s">
        <v>43</v>
      </c>
      <c r="K126" s="9" t="s">
        <v>226</v>
      </c>
      <c r="L126" s="9" t="s">
        <v>225</v>
      </c>
      <c r="M126" s="9" t="s">
        <v>225</v>
      </c>
      <c r="O126" s="22" t="s">
        <v>630</v>
      </c>
      <c r="P126" s="23" t="s">
        <v>43</v>
      </c>
      <c r="Q126" s="23" t="s">
        <v>226</v>
      </c>
      <c r="R126" s="23" t="s">
        <v>225</v>
      </c>
      <c r="S126" s="24" t="s">
        <v>225</v>
      </c>
    </row>
    <row r="127" spans="1:19" ht="15.75" hidden="1" customHeight="1" x14ac:dyDescent="0.2">
      <c r="A127" s="9"/>
      <c r="B127" s="10"/>
      <c r="C127" s="9"/>
      <c r="D127" s="9"/>
      <c r="E127" s="14" t="s">
        <v>631</v>
      </c>
      <c r="F127" s="15" t="s">
        <v>632</v>
      </c>
      <c r="G127" s="16" t="s">
        <v>223</v>
      </c>
      <c r="H127" s="9"/>
      <c r="I127" s="9" t="s">
        <v>633</v>
      </c>
      <c r="J127" s="9" t="s">
        <v>43</v>
      </c>
      <c r="K127" s="9" t="s">
        <v>225</v>
      </c>
      <c r="L127" s="9" t="s">
        <v>225</v>
      </c>
      <c r="M127" s="9" t="s">
        <v>226</v>
      </c>
      <c r="O127" s="22" t="s">
        <v>633</v>
      </c>
      <c r="P127" s="23" t="s">
        <v>43</v>
      </c>
      <c r="Q127" s="23" t="s">
        <v>225</v>
      </c>
      <c r="R127" s="23" t="s">
        <v>225</v>
      </c>
      <c r="S127" s="24" t="s">
        <v>226</v>
      </c>
    </row>
    <row r="128" spans="1:19" ht="15.75" hidden="1" customHeight="1" x14ac:dyDescent="0.2">
      <c r="A128" s="9"/>
      <c r="B128" s="10"/>
      <c r="C128" s="9"/>
      <c r="D128" s="9"/>
      <c r="E128" s="14" t="s">
        <v>634</v>
      </c>
      <c r="F128" s="15" t="s">
        <v>635</v>
      </c>
      <c r="G128" s="16" t="s">
        <v>636</v>
      </c>
      <c r="H128" s="9"/>
      <c r="I128" s="9" t="s">
        <v>637</v>
      </c>
      <c r="J128" s="9" t="s">
        <v>33</v>
      </c>
      <c r="K128" s="9" t="s">
        <v>225</v>
      </c>
      <c r="L128" s="9" t="s">
        <v>225</v>
      </c>
      <c r="M128" s="9" t="s">
        <v>226</v>
      </c>
      <c r="O128" s="22" t="s">
        <v>637</v>
      </c>
      <c r="P128" s="23" t="s">
        <v>33</v>
      </c>
      <c r="Q128" s="23" t="s">
        <v>225</v>
      </c>
      <c r="R128" s="23" t="s">
        <v>225</v>
      </c>
      <c r="S128" s="24" t="s">
        <v>226</v>
      </c>
    </row>
    <row r="129" spans="1:19" ht="15.75" hidden="1" customHeight="1" x14ac:dyDescent="0.2">
      <c r="A129" s="9"/>
      <c r="B129" s="10"/>
      <c r="C129" s="9"/>
      <c r="D129" s="9"/>
      <c r="E129" s="14" t="s">
        <v>638</v>
      </c>
      <c r="F129" s="15" t="s">
        <v>639</v>
      </c>
      <c r="G129" s="16" t="s">
        <v>640</v>
      </c>
      <c r="H129" s="9"/>
      <c r="I129" s="9" t="s">
        <v>641</v>
      </c>
      <c r="J129" s="9" t="s">
        <v>43</v>
      </c>
      <c r="K129" s="9" t="s">
        <v>226</v>
      </c>
      <c r="L129" s="9" t="s">
        <v>225</v>
      </c>
      <c r="M129" s="9" t="s">
        <v>226</v>
      </c>
      <c r="O129" s="22" t="s">
        <v>641</v>
      </c>
      <c r="P129" s="23" t="s">
        <v>43</v>
      </c>
      <c r="Q129" s="23" t="s">
        <v>226</v>
      </c>
      <c r="R129" s="23" t="s">
        <v>225</v>
      </c>
      <c r="S129" s="24" t="s">
        <v>226</v>
      </c>
    </row>
    <row r="130" spans="1:19" ht="15.75" customHeight="1" x14ac:dyDescent="0.2">
      <c r="A130" s="9"/>
      <c r="B130" s="10"/>
      <c r="C130" s="9"/>
      <c r="D130" s="9"/>
      <c r="E130" s="14" t="s">
        <v>642</v>
      </c>
      <c r="F130" s="15" t="s">
        <v>643</v>
      </c>
      <c r="G130" s="16" t="s">
        <v>644</v>
      </c>
      <c r="H130" s="9"/>
      <c r="I130" s="9" t="s">
        <v>645</v>
      </c>
      <c r="J130" s="9" t="s">
        <v>43</v>
      </c>
      <c r="K130" s="9" t="s">
        <v>225</v>
      </c>
      <c r="L130" s="9" t="s">
        <v>225</v>
      </c>
      <c r="M130" s="9" t="s">
        <v>225</v>
      </c>
      <c r="O130" s="22" t="s">
        <v>645</v>
      </c>
      <c r="P130" s="23" t="s">
        <v>43</v>
      </c>
      <c r="Q130" s="23" t="s">
        <v>225</v>
      </c>
      <c r="R130" s="23" t="s">
        <v>225</v>
      </c>
      <c r="S130" s="24" t="s">
        <v>225</v>
      </c>
    </row>
    <row r="131" spans="1:19" ht="15.75" hidden="1" customHeight="1" x14ac:dyDescent="0.2">
      <c r="A131" s="9"/>
      <c r="B131" s="10"/>
      <c r="C131" s="9"/>
      <c r="D131" s="9"/>
      <c r="E131" s="14" t="s">
        <v>646</v>
      </c>
      <c r="F131" s="15" t="s">
        <v>647</v>
      </c>
      <c r="G131" s="16" t="s">
        <v>447</v>
      </c>
      <c r="H131" s="9"/>
      <c r="I131" s="9" t="s">
        <v>648</v>
      </c>
      <c r="J131" s="9" t="s">
        <v>43</v>
      </c>
      <c r="K131" s="9" t="s">
        <v>226</v>
      </c>
      <c r="L131" s="9" t="s">
        <v>225</v>
      </c>
      <c r="M131" s="9" t="s">
        <v>225</v>
      </c>
      <c r="O131" s="22" t="s">
        <v>648</v>
      </c>
      <c r="P131" s="23" t="s">
        <v>43</v>
      </c>
      <c r="Q131" s="23" t="s">
        <v>226</v>
      </c>
      <c r="R131" s="23" t="s">
        <v>225</v>
      </c>
      <c r="S131" s="24" t="s">
        <v>225</v>
      </c>
    </row>
    <row r="132" spans="1:19" ht="15.75" hidden="1" customHeight="1" x14ac:dyDescent="0.2">
      <c r="A132" s="9"/>
      <c r="B132" s="10"/>
      <c r="C132" s="9"/>
      <c r="D132" s="9"/>
      <c r="E132" s="14" t="s">
        <v>649</v>
      </c>
      <c r="F132" s="15" t="s">
        <v>650</v>
      </c>
      <c r="G132" s="16" t="s">
        <v>651</v>
      </c>
      <c r="H132" s="9"/>
      <c r="I132" s="9" t="s">
        <v>652</v>
      </c>
      <c r="J132" s="9" t="s">
        <v>43</v>
      </c>
      <c r="K132" s="9" t="s">
        <v>226</v>
      </c>
      <c r="L132" s="9" t="s">
        <v>225</v>
      </c>
      <c r="M132" s="9" t="s">
        <v>225</v>
      </c>
      <c r="O132" s="22" t="s">
        <v>652</v>
      </c>
      <c r="P132" s="23" t="s">
        <v>43</v>
      </c>
      <c r="Q132" s="23" t="s">
        <v>226</v>
      </c>
      <c r="R132" s="23" t="s">
        <v>225</v>
      </c>
      <c r="S132" s="24" t="s">
        <v>225</v>
      </c>
    </row>
    <row r="133" spans="1:19" ht="15.75" hidden="1" customHeight="1" x14ac:dyDescent="0.2">
      <c r="A133" s="9"/>
      <c r="B133" s="10"/>
      <c r="C133" s="9"/>
      <c r="D133" s="9"/>
      <c r="E133" s="14" t="s">
        <v>653</v>
      </c>
      <c r="F133" s="15" t="s">
        <v>654</v>
      </c>
      <c r="G133" s="16" t="s">
        <v>655</v>
      </c>
      <c r="H133" s="9"/>
      <c r="I133" s="9" t="s">
        <v>656</v>
      </c>
      <c r="J133" s="9" t="s">
        <v>43</v>
      </c>
      <c r="K133" s="9" t="s">
        <v>225</v>
      </c>
      <c r="L133" s="9" t="s">
        <v>225</v>
      </c>
      <c r="M133" s="9" t="s">
        <v>226</v>
      </c>
      <c r="O133" s="22" t="s">
        <v>656</v>
      </c>
      <c r="P133" s="23" t="s">
        <v>43</v>
      </c>
      <c r="Q133" s="23" t="s">
        <v>225</v>
      </c>
      <c r="R133" s="23" t="s">
        <v>225</v>
      </c>
      <c r="S133" s="24" t="s">
        <v>226</v>
      </c>
    </row>
    <row r="134" spans="1:19" ht="15.75" customHeight="1" x14ac:dyDescent="0.2">
      <c r="A134" s="9"/>
      <c r="B134" s="10"/>
      <c r="C134" s="9"/>
      <c r="D134" s="9"/>
      <c r="E134" s="14" t="s">
        <v>657</v>
      </c>
      <c r="F134" s="15" t="s">
        <v>658</v>
      </c>
      <c r="G134" s="16" t="s">
        <v>223</v>
      </c>
      <c r="H134" s="9"/>
      <c r="I134" s="9" t="s">
        <v>659</v>
      </c>
      <c r="J134" s="9" t="s">
        <v>43</v>
      </c>
      <c r="K134" s="9" t="s">
        <v>226</v>
      </c>
      <c r="L134" s="9" t="s">
        <v>225</v>
      </c>
      <c r="M134" s="9" t="s">
        <v>226</v>
      </c>
      <c r="O134" s="22" t="s">
        <v>659</v>
      </c>
      <c r="P134" s="23" t="s">
        <v>43</v>
      </c>
      <c r="Q134" s="23" t="s">
        <v>226</v>
      </c>
      <c r="R134" s="23" t="s">
        <v>225</v>
      </c>
      <c r="S134" s="24" t="s">
        <v>226</v>
      </c>
    </row>
    <row r="135" spans="1:19" ht="15.75" customHeight="1" x14ac:dyDescent="0.2">
      <c r="A135" s="9"/>
      <c r="B135" s="10"/>
      <c r="C135" s="9"/>
      <c r="D135" s="9"/>
      <c r="E135" s="14" t="s">
        <v>660</v>
      </c>
      <c r="F135" s="15" t="s">
        <v>661</v>
      </c>
      <c r="G135" s="16" t="s">
        <v>349</v>
      </c>
      <c r="H135" s="9"/>
      <c r="I135" s="9" t="s">
        <v>662</v>
      </c>
      <c r="J135" s="9" t="s">
        <v>43</v>
      </c>
      <c r="K135" s="9" t="s">
        <v>226</v>
      </c>
      <c r="L135" s="9" t="s">
        <v>225</v>
      </c>
      <c r="M135" s="9" t="s">
        <v>226</v>
      </c>
      <c r="O135" s="22" t="s">
        <v>662</v>
      </c>
      <c r="P135" s="23" t="s">
        <v>43</v>
      </c>
      <c r="Q135" s="23" t="s">
        <v>226</v>
      </c>
      <c r="R135" s="23" t="s">
        <v>225</v>
      </c>
      <c r="S135" s="24" t="s">
        <v>226</v>
      </c>
    </row>
    <row r="136" spans="1:19" ht="15.75" hidden="1" customHeight="1" x14ac:dyDescent="0.2">
      <c r="A136" s="9"/>
      <c r="B136" s="10"/>
      <c r="C136" s="9"/>
      <c r="D136" s="9"/>
      <c r="E136" s="14" t="s">
        <v>663</v>
      </c>
      <c r="F136" s="15" t="s">
        <v>230</v>
      </c>
      <c r="G136" s="16" t="s">
        <v>223</v>
      </c>
      <c r="H136" s="9"/>
      <c r="I136" s="9" t="s">
        <v>664</v>
      </c>
      <c r="J136" s="9" t="s">
        <v>33</v>
      </c>
      <c r="K136" s="9" t="s">
        <v>225</v>
      </c>
      <c r="L136" s="9" t="s">
        <v>225</v>
      </c>
      <c r="M136" s="9" t="s">
        <v>225</v>
      </c>
      <c r="O136" s="22" t="s">
        <v>664</v>
      </c>
      <c r="P136" s="23" t="s">
        <v>33</v>
      </c>
      <c r="Q136" s="23" t="s">
        <v>225</v>
      </c>
      <c r="R136" s="23" t="s">
        <v>225</v>
      </c>
      <c r="S136" s="24" t="s">
        <v>225</v>
      </c>
    </row>
    <row r="137" spans="1:19" ht="15.75" hidden="1" customHeight="1" x14ac:dyDescent="0.2">
      <c r="A137" s="9"/>
      <c r="B137" s="10"/>
      <c r="C137" s="9"/>
      <c r="D137" s="9"/>
      <c r="E137" s="14" t="s">
        <v>665</v>
      </c>
      <c r="F137" s="15" t="s">
        <v>490</v>
      </c>
      <c r="G137" s="16" t="s">
        <v>223</v>
      </c>
      <c r="H137" s="9"/>
      <c r="I137" s="9" t="s">
        <v>666</v>
      </c>
      <c r="J137" s="9" t="s">
        <v>43</v>
      </c>
      <c r="K137" s="9" t="s">
        <v>226</v>
      </c>
      <c r="L137" s="9" t="s">
        <v>225</v>
      </c>
      <c r="M137" s="9" t="s">
        <v>225</v>
      </c>
      <c r="O137" s="22" t="s">
        <v>666</v>
      </c>
      <c r="P137" s="23" t="s">
        <v>43</v>
      </c>
      <c r="Q137" s="23" t="s">
        <v>226</v>
      </c>
      <c r="R137" s="23" t="s">
        <v>225</v>
      </c>
      <c r="S137" s="24" t="s">
        <v>225</v>
      </c>
    </row>
    <row r="138" spans="1:19" ht="15.75" hidden="1" customHeight="1" x14ac:dyDescent="0.2">
      <c r="A138" s="9"/>
      <c r="B138" s="10"/>
      <c r="C138" s="9"/>
      <c r="D138" s="9"/>
      <c r="E138" s="14" t="s">
        <v>667</v>
      </c>
      <c r="F138" s="15" t="s">
        <v>495</v>
      </c>
      <c r="G138" s="16" t="s">
        <v>223</v>
      </c>
      <c r="H138" s="9"/>
      <c r="I138" s="9" t="s">
        <v>668</v>
      </c>
      <c r="J138" s="9" t="s">
        <v>43</v>
      </c>
      <c r="K138" s="9" t="s">
        <v>226</v>
      </c>
      <c r="L138" s="9" t="s">
        <v>225</v>
      </c>
      <c r="M138" s="9" t="s">
        <v>225</v>
      </c>
      <c r="O138" s="22" t="s">
        <v>668</v>
      </c>
      <c r="P138" s="23" t="s">
        <v>43</v>
      </c>
      <c r="Q138" s="23" t="s">
        <v>226</v>
      </c>
      <c r="R138" s="23" t="s">
        <v>225</v>
      </c>
      <c r="S138" s="24" t="s">
        <v>225</v>
      </c>
    </row>
    <row r="139" spans="1:19" ht="15.75" hidden="1" customHeight="1" x14ac:dyDescent="0.2">
      <c r="A139" s="9"/>
      <c r="B139" s="10"/>
      <c r="C139" s="9"/>
      <c r="D139" s="9"/>
      <c r="E139" s="14" t="s">
        <v>669</v>
      </c>
      <c r="F139" s="15" t="s">
        <v>322</v>
      </c>
      <c r="G139" s="16" t="s">
        <v>223</v>
      </c>
      <c r="H139" s="9"/>
      <c r="I139" s="9" t="s">
        <v>670</v>
      </c>
      <c r="J139" s="9" t="s">
        <v>43</v>
      </c>
      <c r="K139" s="9" t="s">
        <v>226</v>
      </c>
      <c r="L139" s="9" t="s">
        <v>225</v>
      </c>
      <c r="M139" s="9" t="s">
        <v>225</v>
      </c>
      <c r="O139" s="22" t="s">
        <v>670</v>
      </c>
      <c r="P139" s="23" t="s">
        <v>43</v>
      </c>
      <c r="Q139" s="23" t="s">
        <v>226</v>
      </c>
      <c r="R139" s="23" t="s">
        <v>225</v>
      </c>
      <c r="S139" s="24" t="s">
        <v>225</v>
      </c>
    </row>
    <row r="140" spans="1:19" ht="15.75" hidden="1" customHeight="1" x14ac:dyDescent="0.2">
      <c r="A140" s="9"/>
      <c r="B140" s="10"/>
      <c r="C140" s="9"/>
      <c r="D140" s="9"/>
      <c r="E140" s="14" t="s">
        <v>671</v>
      </c>
      <c r="F140" s="15" t="s">
        <v>319</v>
      </c>
      <c r="G140" s="16" t="s">
        <v>223</v>
      </c>
      <c r="H140" s="9"/>
      <c r="I140" s="9" t="s">
        <v>672</v>
      </c>
      <c r="J140" s="9" t="s">
        <v>673</v>
      </c>
      <c r="K140" s="9" t="s">
        <v>226</v>
      </c>
      <c r="L140" s="9" t="s">
        <v>225</v>
      </c>
      <c r="M140" s="9" t="s">
        <v>225</v>
      </c>
      <c r="O140" s="22" t="s">
        <v>672</v>
      </c>
      <c r="P140" s="23" t="s">
        <v>673</v>
      </c>
      <c r="Q140" s="23" t="s">
        <v>226</v>
      </c>
      <c r="R140" s="23" t="s">
        <v>225</v>
      </c>
      <c r="S140" s="24" t="s">
        <v>225</v>
      </c>
    </row>
    <row r="141" spans="1:19" ht="15.75" hidden="1" customHeight="1" x14ac:dyDescent="0.2">
      <c r="A141" s="9"/>
      <c r="B141" s="10"/>
      <c r="C141" s="9"/>
      <c r="D141" s="9"/>
      <c r="E141" s="14" t="s">
        <v>99</v>
      </c>
      <c r="F141" s="15" t="s">
        <v>315</v>
      </c>
      <c r="G141" s="16" t="s">
        <v>316</v>
      </c>
      <c r="H141" s="9"/>
      <c r="I141" s="9" t="s">
        <v>674</v>
      </c>
      <c r="J141" s="9" t="s">
        <v>43</v>
      </c>
      <c r="K141" s="9" t="s">
        <v>226</v>
      </c>
      <c r="L141" s="9" t="s">
        <v>225</v>
      </c>
      <c r="M141" s="9" t="s">
        <v>225</v>
      </c>
      <c r="O141" s="22" t="s">
        <v>674</v>
      </c>
      <c r="P141" s="23" t="s">
        <v>43</v>
      </c>
      <c r="Q141" s="23" t="s">
        <v>226</v>
      </c>
      <c r="R141" s="23" t="s">
        <v>225</v>
      </c>
      <c r="S141" s="24" t="s">
        <v>225</v>
      </c>
    </row>
    <row r="142" spans="1:19" ht="15.75" hidden="1" customHeight="1" x14ac:dyDescent="0.2">
      <c r="A142" s="9"/>
      <c r="B142" s="10"/>
      <c r="C142" s="9"/>
      <c r="D142" s="9"/>
      <c r="E142" s="14" t="s">
        <v>675</v>
      </c>
      <c r="F142" s="15" t="s">
        <v>676</v>
      </c>
      <c r="G142" s="16" t="s">
        <v>326</v>
      </c>
      <c r="H142" s="9"/>
      <c r="I142" s="9" t="s">
        <v>677</v>
      </c>
      <c r="J142" s="9" t="s">
        <v>673</v>
      </c>
      <c r="K142" s="9" t="s">
        <v>226</v>
      </c>
      <c r="L142" s="9" t="s">
        <v>225</v>
      </c>
      <c r="M142" s="9" t="s">
        <v>225</v>
      </c>
      <c r="O142" s="22" t="s">
        <v>677</v>
      </c>
      <c r="P142" s="23" t="s">
        <v>673</v>
      </c>
      <c r="Q142" s="23" t="s">
        <v>226</v>
      </c>
      <c r="R142" s="23" t="s">
        <v>225</v>
      </c>
      <c r="S142" s="24" t="s">
        <v>225</v>
      </c>
    </row>
    <row r="143" spans="1:19" ht="15.75" hidden="1" customHeight="1" x14ac:dyDescent="0.2">
      <c r="A143" s="9"/>
      <c r="B143" s="10"/>
      <c r="C143" s="9"/>
      <c r="D143" s="9"/>
      <c r="E143" s="33" t="s">
        <v>678</v>
      </c>
      <c r="F143" s="34" t="s">
        <v>679</v>
      </c>
      <c r="G143" s="35" t="s">
        <v>223</v>
      </c>
      <c r="H143" s="9"/>
      <c r="I143" s="9" t="s">
        <v>680</v>
      </c>
      <c r="J143" s="9" t="s">
        <v>43</v>
      </c>
      <c r="K143" s="9" t="s">
        <v>225</v>
      </c>
      <c r="L143" s="9" t="s">
        <v>225</v>
      </c>
      <c r="M143" s="9" t="s">
        <v>225</v>
      </c>
      <c r="O143" s="22" t="s">
        <v>680</v>
      </c>
      <c r="P143" s="23" t="s">
        <v>43</v>
      </c>
      <c r="Q143" s="23" t="s">
        <v>225</v>
      </c>
      <c r="R143" s="23" t="s">
        <v>225</v>
      </c>
      <c r="S143" s="24" t="s">
        <v>225</v>
      </c>
    </row>
    <row r="144" spans="1:19" ht="15.75" hidden="1" customHeight="1" x14ac:dyDescent="0.2">
      <c r="A144" s="9"/>
      <c r="B144" s="10"/>
      <c r="C144" s="9"/>
      <c r="D144" s="9"/>
      <c r="E144" s="33" t="s">
        <v>681</v>
      </c>
      <c r="F144" s="34" t="s">
        <v>682</v>
      </c>
      <c r="G144" s="35" t="s">
        <v>223</v>
      </c>
      <c r="H144" s="9"/>
      <c r="I144" s="9" t="s">
        <v>683</v>
      </c>
      <c r="J144" s="9" t="s">
        <v>673</v>
      </c>
      <c r="K144" s="9" t="s">
        <v>225</v>
      </c>
      <c r="L144" s="9" t="s">
        <v>225</v>
      </c>
      <c r="M144" s="9" t="s">
        <v>225</v>
      </c>
      <c r="O144" s="22" t="s">
        <v>683</v>
      </c>
      <c r="P144" s="23" t="s">
        <v>673</v>
      </c>
      <c r="Q144" s="23" t="s">
        <v>225</v>
      </c>
      <c r="R144" s="23" t="s">
        <v>225</v>
      </c>
      <c r="S144" s="24" t="s">
        <v>225</v>
      </c>
    </row>
    <row r="145" spans="1:19" ht="15.75" hidden="1" customHeight="1" x14ac:dyDescent="0.2">
      <c r="A145" s="9"/>
      <c r="B145" s="10"/>
      <c r="C145" s="9"/>
      <c r="D145" s="9"/>
      <c r="E145" s="33" t="s">
        <v>684</v>
      </c>
      <c r="F145" s="34" t="s">
        <v>685</v>
      </c>
      <c r="G145" s="35" t="s">
        <v>223</v>
      </c>
      <c r="H145" s="9"/>
      <c r="I145" s="9" t="s">
        <v>686</v>
      </c>
      <c r="J145" s="9" t="s">
        <v>43</v>
      </c>
      <c r="K145" s="9" t="s">
        <v>225</v>
      </c>
      <c r="L145" s="9" t="s">
        <v>225</v>
      </c>
      <c r="M145" s="9" t="s">
        <v>226</v>
      </c>
      <c r="O145" s="22" t="s">
        <v>686</v>
      </c>
      <c r="P145" s="23" t="s">
        <v>43</v>
      </c>
      <c r="Q145" s="23" t="s">
        <v>225</v>
      </c>
      <c r="R145" s="23" t="s">
        <v>225</v>
      </c>
      <c r="S145" s="24" t="s">
        <v>226</v>
      </c>
    </row>
    <row r="146" spans="1:19" ht="15.75" hidden="1" customHeight="1" x14ac:dyDescent="0.2">
      <c r="A146" s="9"/>
      <c r="B146" s="10"/>
      <c r="C146" s="9"/>
      <c r="D146" s="9"/>
      <c r="E146" s="33" t="s">
        <v>687</v>
      </c>
      <c r="F146" s="34" t="s">
        <v>688</v>
      </c>
      <c r="G146" s="35" t="s">
        <v>223</v>
      </c>
      <c r="H146" s="9"/>
      <c r="I146" s="9" t="s">
        <v>689</v>
      </c>
      <c r="J146" s="9" t="s">
        <v>43</v>
      </c>
      <c r="K146" s="9" t="s">
        <v>225</v>
      </c>
      <c r="L146" s="9" t="s">
        <v>225</v>
      </c>
      <c r="M146" s="9" t="s">
        <v>225</v>
      </c>
      <c r="O146" s="22" t="s">
        <v>689</v>
      </c>
      <c r="P146" s="23" t="s">
        <v>43</v>
      </c>
      <c r="Q146" s="23" t="s">
        <v>225</v>
      </c>
      <c r="R146" s="23" t="s">
        <v>225</v>
      </c>
      <c r="S146" s="24" t="s">
        <v>225</v>
      </c>
    </row>
    <row r="147" spans="1:19" ht="15.75" hidden="1" customHeight="1" x14ac:dyDescent="0.2">
      <c r="A147" s="9"/>
      <c r="B147" s="10"/>
      <c r="C147" s="9"/>
      <c r="D147" s="9"/>
      <c r="E147" s="33" t="s">
        <v>690</v>
      </c>
      <c r="F147" s="34" t="s">
        <v>691</v>
      </c>
      <c r="G147" s="35" t="s">
        <v>692</v>
      </c>
      <c r="H147" s="9"/>
      <c r="I147" s="9" t="s">
        <v>693</v>
      </c>
      <c r="J147" s="9" t="s">
        <v>43</v>
      </c>
      <c r="K147" s="9" t="s">
        <v>225</v>
      </c>
      <c r="L147" s="9" t="s">
        <v>225</v>
      </c>
      <c r="M147" s="9" t="s">
        <v>225</v>
      </c>
      <c r="O147" s="22" t="s">
        <v>693</v>
      </c>
      <c r="P147" s="23" t="s">
        <v>43</v>
      </c>
      <c r="Q147" s="23" t="s">
        <v>225</v>
      </c>
      <c r="R147" s="23" t="s">
        <v>225</v>
      </c>
      <c r="S147" s="24" t="s">
        <v>225</v>
      </c>
    </row>
    <row r="148" spans="1:19" ht="15.75" hidden="1" customHeight="1" x14ac:dyDescent="0.2">
      <c r="A148" s="9"/>
      <c r="B148" s="10"/>
      <c r="C148" s="9"/>
      <c r="D148" s="9"/>
      <c r="E148" s="33" t="s">
        <v>694</v>
      </c>
      <c r="F148" s="34" t="s">
        <v>695</v>
      </c>
      <c r="G148" s="35" t="s">
        <v>223</v>
      </c>
      <c r="H148" s="9"/>
      <c r="I148" s="9" t="s">
        <v>696</v>
      </c>
      <c r="J148" s="9" t="s">
        <v>33</v>
      </c>
      <c r="K148" s="9" t="s">
        <v>225</v>
      </c>
      <c r="L148" s="9" t="s">
        <v>225</v>
      </c>
      <c r="M148" s="9" t="s">
        <v>225</v>
      </c>
      <c r="O148" s="22" t="s">
        <v>696</v>
      </c>
      <c r="P148" s="23" t="s">
        <v>33</v>
      </c>
      <c r="Q148" s="23" t="s">
        <v>225</v>
      </c>
      <c r="R148" s="23" t="s">
        <v>225</v>
      </c>
      <c r="S148" s="24" t="s">
        <v>225</v>
      </c>
    </row>
    <row r="149" spans="1:19" ht="15.75" hidden="1" customHeight="1" x14ac:dyDescent="0.2">
      <c r="A149" s="9"/>
      <c r="B149" s="10"/>
      <c r="C149" s="9"/>
      <c r="D149" s="9"/>
      <c r="E149" s="33" t="s">
        <v>697</v>
      </c>
      <c r="F149" s="34" t="s">
        <v>698</v>
      </c>
      <c r="G149" s="35" t="s">
        <v>699</v>
      </c>
      <c r="H149" s="9"/>
      <c r="I149" s="9" t="s">
        <v>700</v>
      </c>
      <c r="J149" s="9" t="s">
        <v>43</v>
      </c>
      <c r="K149" s="9" t="s">
        <v>225</v>
      </c>
      <c r="L149" s="9" t="s">
        <v>225</v>
      </c>
      <c r="M149" s="9" t="s">
        <v>225</v>
      </c>
      <c r="O149" s="22" t="s">
        <v>700</v>
      </c>
      <c r="P149" s="23" t="s">
        <v>43</v>
      </c>
      <c r="Q149" s="23" t="s">
        <v>225</v>
      </c>
      <c r="R149" s="23" t="s">
        <v>225</v>
      </c>
      <c r="S149" s="24" t="s">
        <v>225</v>
      </c>
    </row>
    <row r="150" spans="1:19" ht="15.75" hidden="1" customHeight="1" x14ac:dyDescent="0.2">
      <c r="A150" s="9"/>
      <c r="B150" s="10"/>
      <c r="C150" s="9"/>
      <c r="D150" s="9"/>
      <c r="E150" s="33" t="s">
        <v>701</v>
      </c>
      <c r="F150" s="34" t="s">
        <v>702</v>
      </c>
      <c r="G150" s="35" t="s">
        <v>699</v>
      </c>
      <c r="H150" s="9"/>
      <c r="I150" s="9" t="s">
        <v>703</v>
      </c>
      <c r="J150" s="9" t="s">
        <v>33</v>
      </c>
      <c r="K150" s="9" t="s">
        <v>225</v>
      </c>
      <c r="L150" s="9" t="s">
        <v>226</v>
      </c>
      <c r="M150" s="9" t="s">
        <v>225</v>
      </c>
      <c r="O150" s="22" t="s">
        <v>703</v>
      </c>
      <c r="P150" s="23" t="s">
        <v>33</v>
      </c>
      <c r="Q150" s="23" t="s">
        <v>225</v>
      </c>
      <c r="R150" s="23" t="s">
        <v>226</v>
      </c>
      <c r="S150" s="24" t="s">
        <v>225</v>
      </c>
    </row>
    <row r="151" spans="1:19" ht="15.75" hidden="1" customHeight="1" x14ac:dyDescent="0.2">
      <c r="A151" s="9"/>
      <c r="B151" s="10"/>
      <c r="C151" s="9"/>
      <c r="D151" s="9"/>
      <c r="E151" s="33" t="s">
        <v>704</v>
      </c>
      <c r="F151" s="34" t="s">
        <v>705</v>
      </c>
      <c r="G151" s="35" t="s">
        <v>542</v>
      </c>
      <c r="H151" s="9"/>
      <c r="I151" s="9" t="s">
        <v>706</v>
      </c>
      <c r="J151" s="9" t="s">
        <v>33</v>
      </c>
      <c r="K151" s="9" t="s">
        <v>226</v>
      </c>
      <c r="L151" s="9" t="s">
        <v>226</v>
      </c>
      <c r="M151" s="9" t="s">
        <v>225</v>
      </c>
      <c r="O151" s="22" t="s">
        <v>706</v>
      </c>
      <c r="P151" s="23" t="s">
        <v>33</v>
      </c>
      <c r="Q151" s="23" t="s">
        <v>226</v>
      </c>
      <c r="R151" s="23" t="s">
        <v>226</v>
      </c>
      <c r="S151" s="24" t="s">
        <v>225</v>
      </c>
    </row>
    <row r="152" spans="1:19" ht="15.75" hidden="1" customHeight="1" x14ac:dyDescent="0.2">
      <c r="A152" s="9"/>
      <c r="B152" s="10"/>
      <c r="C152" s="9"/>
      <c r="D152" s="9"/>
      <c r="E152" s="33" t="s">
        <v>707</v>
      </c>
      <c r="F152" s="34" t="s">
        <v>708</v>
      </c>
      <c r="G152" s="35" t="s">
        <v>223</v>
      </c>
      <c r="H152" s="9"/>
      <c r="I152" s="9" t="s">
        <v>709</v>
      </c>
      <c r="J152" s="9" t="s">
        <v>43</v>
      </c>
      <c r="K152" s="9" t="s">
        <v>225</v>
      </c>
      <c r="L152" s="9" t="s">
        <v>225</v>
      </c>
      <c r="M152" s="9" t="s">
        <v>225</v>
      </c>
      <c r="O152" s="22" t="s">
        <v>709</v>
      </c>
      <c r="P152" s="23" t="s">
        <v>43</v>
      </c>
      <c r="Q152" s="23" t="s">
        <v>225</v>
      </c>
      <c r="R152" s="23" t="s">
        <v>225</v>
      </c>
      <c r="S152" s="24" t="s">
        <v>225</v>
      </c>
    </row>
    <row r="153" spans="1:19" ht="15.75" hidden="1" customHeight="1" x14ac:dyDescent="0.2">
      <c r="A153" s="9"/>
      <c r="B153" s="10"/>
      <c r="C153" s="9"/>
      <c r="D153" s="9"/>
      <c r="E153" s="33" t="s">
        <v>710</v>
      </c>
      <c r="F153" s="34" t="s">
        <v>711</v>
      </c>
      <c r="G153" s="35" t="s">
        <v>535</v>
      </c>
      <c r="H153" s="9"/>
      <c r="I153" s="9" t="s">
        <v>712</v>
      </c>
      <c r="J153" s="9" t="s">
        <v>43</v>
      </c>
      <c r="K153" s="9" t="s">
        <v>226</v>
      </c>
      <c r="L153" s="9" t="s">
        <v>225</v>
      </c>
      <c r="M153" s="9" t="s">
        <v>225</v>
      </c>
      <c r="N153" s="9"/>
      <c r="O153" s="22" t="s">
        <v>712</v>
      </c>
      <c r="P153" s="23" t="s">
        <v>43</v>
      </c>
      <c r="Q153" s="23" t="s">
        <v>226</v>
      </c>
      <c r="R153" s="23" t="s">
        <v>225</v>
      </c>
      <c r="S153" s="24" t="s">
        <v>225</v>
      </c>
    </row>
    <row r="154" spans="1:19" ht="15.75" hidden="1" customHeight="1" x14ac:dyDescent="0.2">
      <c r="A154" s="9"/>
      <c r="B154" s="10"/>
      <c r="C154" s="9"/>
      <c r="D154" s="9"/>
      <c r="E154" s="33" t="s">
        <v>713</v>
      </c>
      <c r="F154" s="34" t="s">
        <v>714</v>
      </c>
      <c r="G154" s="35" t="s">
        <v>535</v>
      </c>
      <c r="H154" s="9"/>
      <c r="I154" s="9" t="s">
        <v>715</v>
      </c>
      <c r="J154" s="9" t="s">
        <v>33</v>
      </c>
      <c r="K154" s="9" t="s">
        <v>225</v>
      </c>
      <c r="L154" s="9" t="s">
        <v>226</v>
      </c>
      <c r="M154" s="9" t="s">
        <v>225</v>
      </c>
      <c r="N154" s="9"/>
      <c r="O154" s="22" t="s">
        <v>715</v>
      </c>
      <c r="P154" s="23" t="s">
        <v>33</v>
      </c>
      <c r="Q154" s="23" t="s">
        <v>225</v>
      </c>
      <c r="R154" s="23" t="s">
        <v>226</v>
      </c>
      <c r="S154" s="24" t="s">
        <v>225</v>
      </c>
    </row>
    <row r="155" spans="1:19" ht="15.75" hidden="1" customHeight="1" x14ac:dyDescent="0.2">
      <c r="A155" s="9"/>
      <c r="B155" s="10"/>
      <c r="C155" s="9"/>
      <c r="D155" s="9"/>
      <c r="E155" s="33" t="s">
        <v>716</v>
      </c>
      <c r="F155" s="34" t="s">
        <v>534</v>
      </c>
      <c r="G155" s="35" t="s">
        <v>249</v>
      </c>
      <c r="H155" s="9"/>
      <c r="I155" s="9" t="s">
        <v>717</v>
      </c>
      <c r="J155" s="9" t="s">
        <v>43</v>
      </c>
      <c r="K155" s="9" t="s">
        <v>225</v>
      </c>
      <c r="L155" s="9" t="s">
        <v>226</v>
      </c>
      <c r="M155" s="9" t="s">
        <v>225</v>
      </c>
      <c r="N155" s="9"/>
      <c r="O155" s="22" t="s">
        <v>717</v>
      </c>
      <c r="P155" s="23" t="s">
        <v>43</v>
      </c>
      <c r="Q155" s="23" t="s">
        <v>225</v>
      </c>
      <c r="R155" s="23" t="s">
        <v>226</v>
      </c>
      <c r="S155" s="24" t="s">
        <v>225</v>
      </c>
    </row>
    <row r="156" spans="1:19" ht="15.75" hidden="1" customHeight="1" x14ac:dyDescent="0.2">
      <c r="A156" s="9"/>
      <c r="B156" s="10"/>
      <c r="C156" s="9"/>
      <c r="D156" s="9"/>
      <c r="E156" s="33" t="s">
        <v>718</v>
      </c>
      <c r="F156" s="34" t="s">
        <v>719</v>
      </c>
      <c r="G156" s="35" t="s">
        <v>692</v>
      </c>
      <c r="H156" s="9"/>
      <c r="I156" s="9" t="s">
        <v>720</v>
      </c>
      <c r="J156" s="9" t="s">
        <v>33</v>
      </c>
      <c r="K156" s="9" t="s">
        <v>225</v>
      </c>
      <c r="L156" s="9" t="s">
        <v>225</v>
      </c>
      <c r="M156" s="9" t="s">
        <v>225</v>
      </c>
      <c r="N156" s="9"/>
      <c r="O156" s="22" t="s">
        <v>720</v>
      </c>
      <c r="P156" s="23" t="s">
        <v>33</v>
      </c>
      <c r="Q156" s="23" t="s">
        <v>225</v>
      </c>
      <c r="R156" s="23" t="s">
        <v>225</v>
      </c>
      <c r="S156" s="24" t="s">
        <v>225</v>
      </c>
    </row>
    <row r="157" spans="1:19" ht="15.75" hidden="1" customHeight="1" x14ac:dyDescent="0.2">
      <c r="A157" s="9"/>
      <c r="B157" s="10"/>
      <c r="C157" s="9"/>
      <c r="D157" s="9"/>
      <c r="E157" s="33" t="s">
        <v>721</v>
      </c>
      <c r="F157" s="34" t="s">
        <v>722</v>
      </c>
      <c r="G157" s="35" t="s">
        <v>723</v>
      </c>
      <c r="H157" s="9"/>
      <c r="I157" s="9" t="s">
        <v>724</v>
      </c>
      <c r="J157" s="9" t="s">
        <v>33</v>
      </c>
      <c r="K157" s="9" t="s">
        <v>226</v>
      </c>
      <c r="L157" s="9" t="s">
        <v>225</v>
      </c>
      <c r="M157" s="9" t="s">
        <v>225</v>
      </c>
      <c r="N157" s="9"/>
      <c r="O157" s="22" t="s">
        <v>724</v>
      </c>
      <c r="P157" s="23" t="s">
        <v>33</v>
      </c>
      <c r="Q157" s="23" t="s">
        <v>226</v>
      </c>
      <c r="R157" s="23" t="s">
        <v>225</v>
      </c>
      <c r="S157" s="24" t="s">
        <v>225</v>
      </c>
    </row>
    <row r="158" spans="1:19" ht="15.75" hidden="1" customHeight="1" x14ac:dyDescent="0.2">
      <c r="A158" s="9"/>
      <c r="B158" s="10"/>
      <c r="C158" s="9"/>
      <c r="D158" s="9"/>
      <c r="E158" s="33" t="s">
        <v>725</v>
      </c>
      <c r="F158" s="34" t="s">
        <v>726</v>
      </c>
      <c r="G158" s="35" t="s">
        <v>723</v>
      </c>
      <c r="H158" s="9"/>
      <c r="I158" s="9" t="s">
        <v>727</v>
      </c>
      <c r="J158" s="9" t="s">
        <v>33</v>
      </c>
      <c r="K158" s="9" t="s">
        <v>226</v>
      </c>
      <c r="L158" s="9" t="s">
        <v>225</v>
      </c>
      <c r="M158" s="9" t="s">
        <v>225</v>
      </c>
      <c r="N158" s="9"/>
      <c r="O158" s="22" t="s">
        <v>727</v>
      </c>
      <c r="P158" s="23" t="s">
        <v>33</v>
      </c>
      <c r="Q158" s="23" t="s">
        <v>226</v>
      </c>
      <c r="R158" s="23" t="s">
        <v>225</v>
      </c>
      <c r="S158" s="24" t="s">
        <v>225</v>
      </c>
    </row>
    <row r="159" spans="1:19" ht="15.75" hidden="1" customHeight="1" x14ac:dyDescent="0.2">
      <c r="A159" s="9"/>
      <c r="B159" s="10"/>
      <c r="C159" s="9"/>
      <c r="D159" s="9"/>
      <c r="E159" s="33" t="s">
        <v>728</v>
      </c>
      <c r="F159" s="34" t="s">
        <v>729</v>
      </c>
      <c r="G159" s="35" t="s">
        <v>730</v>
      </c>
      <c r="H159" s="9"/>
      <c r="I159" s="9" t="s">
        <v>731</v>
      </c>
      <c r="J159" s="9" t="s">
        <v>43</v>
      </c>
      <c r="K159" s="9" t="s">
        <v>226</v>
      </c>
      <c r="L159" s="9" t="s">
        <v>225</v>
      </c>
      <c r="M159" s="9" t="s">
        <v>225</v>
      </c>
      <c r="N159" s="9"/>
      <c r="O159" s="22" t="s">
        <v>731</v>
      </c>
      <c r="P159" s="23" t="s">
        <v>43</v>
      </c>
      <c r="Q159" s="23" t="s">
        <v>226</v>
      </c>
      <c r="R159" s="23" t="s">
        <v>225</v>
      </c>
      <c r="S159" s="24" t="s">
        <v>225</v>
      </c>
    </row>
    <row r="160" spans="1:19" ht="15.75" hidden="1" customHeight="1" x14ac:dyDescent="0.2">
      <c r="A160" s="9"/>
      <c r="B160" s="10"/>
      <c r="C160" s="9"/>
      <c r="D160" s="9"/>
      <c r="E160" s="33" t="s">
        <v>732</v>
      </c>
      <c r="F160" s="34" t="s">
        <v>733</v>
      </c>
      <c r="G160" s="35" t="s">
        <v>734</v>
      </c>
      <c r="H160" s="9"/>
      <c r="I160" s="9" t="s">
        <v>735</v>
      </c>
      <c r="J160" s="9" t="s">
        <v>43</v>
      </c>
      <c r="K160" s="9" t="s">
        <v>225</v>
      </c>
      <c r="L160" s="9" t="s">
        <v>225</v>
      </c>
      <c r="M160" s="9" t="s">
        <v>225</v>
      </c>
      <c r="N160" s="9"/>
      <c r="O160" s="22" t="s">
        <v>735</v>
      </c>
      <c r="P160" s="23" t="s">
        <v>43</v>
      </c>
      <c r="Q160" s="23" t="s">
        <v>225</v>
      </c>
      <c r="R160" s="23" t="s">
        <v>225</v>
      </c>
      <c r="S160" s="24" t="s">
        <v>225</v>
      </c>
    </row>
    <row r="161" spans="1:19" ht="15.75" hidden="1" customHeight="1" x14ac:dyDescent="0.2">
      <c r="A161" s="9"/>
      <c r="B161" s="10"/>
      <c r="C161" s="9"/>
      <c r="D161" s="9"/>
      <c r="E161" s="33" t="s">
        <v>736</v>
      </c>
      <c r="F161" s="34" t="s">
        <v>737</v>
      </c>
      <c r="G161" s="35" t="s">
        <v>375</v>
      </c>
      <c r="H161" s="9"/>
      <c r="I161" s="9" t="s">
        <v>738</v>
      </c>
      <c r="J161" s="9" t="s">
        <v>43</v>
      </c>
      <c r="K161" s="9" t="s">
        <v>226</v>
      </c>
      <c r="L161" s="9" t="s">
        <v>225</v>
      </c>
      <c r="M161" s="9" t="s">
        <v>225</v>
      </c>
      <c r="N161" s="9"/>
      <c r="O161" s="22" t="s">
        <v>738</v>
      </c>
      <c r="P161" s="23" t="s">
        <v>43</v>
      </c>
      <c r="Q161" s="23" t="s">
        <v>226</v>
      </c>
      <c r="R161" s="23" t="s">
        <v>225</v>
      </c>
      <c r="S161" s="24" t="s">
        <v>225</v>
      </c>
    </row>
    <row r="162" spans="1:19" ht="15.75" hidden="1" customHeight="1" x14ac:dyDescent="0.2">
      <c r="A162" s="9"/>
      <c r="B162" s="10"/>
      <c r="C162" s="9"/>
      <c r="D162" s="9"/>
      <c r="E162" s="33" t="s">
        <v>154</v>
      </c>
      <c r="F162" s="34" t="s">
        <v>739</v>
      </c>
      <c r="G162" s="35" t="s">
        <v>375</v>
      </c>
      <c r="H162" s="9"/>
      <c r="I162" s="9" t="s">
        <v>740</v>
      </c>
      <c r="J162" s="9" t="s">
        <v>43</v>
      </c>
      <c r="K162" s="9" t="s">
        <v>226</v>
      </c>
      <c r="L162" s="9" t="s">
        <v>225</v>
      </c>
      <c r="M162" s="9" t="s">
        <v>225</v>
      </c>
      <c r="N162" s="9"/>
      <c r="O162" s="22" t="s">
        <v>740</v>
      </c>
      <c r="P162" s="23" t="s">
        <v>43</v>
      </c>
      <c r="Q162" s="23" t="s">
        <v>226</v>
      </c>
      <c r="R162" s="23" t="s">
        <v>225</v>
      </c>
      <c r="S162" s="24" t="s">
        <v>225</v>
      </c>
    </row>
    <row r="163" spans="1:19" ht="15.75" hidden="1" customHeight="1" x14ac:dyDescent="0.2">
      <c r="A163" s="9"/>
      <c r="B163" s="10"/>
      <c r="C163" s="9"/>
      <c r="D163" s="9"/>
      <c r="E163" s="33" t="s">
        <v>741</v>
      </c>
      <c r="F163" s="34" t="s">
        <v>742</v>
      </c>
      <c r="G163" s="35" t="s">
        <v>743</v>
      </c>
      <c r="H163" s="9"/>
      <c r="I163" s="9" t="s">
        <v>744</v>
      </c>
      <c r="J163" s="9" t="s">
        <v>43</v>
      </c>
      <c r="K163" s="9" t="s">
        <v>226</v>
      </c>
      <c r="L163" s="9" t="s">
        <v>225</v>
      </c>
      <c r="M163" s="9" t="s">
        <v>225</v>
      </c>
      <c r="N163" s="9"/>
      <c r="O163" s="22" t="s">
        <v>744</v>
      </c>
      <c r="P163" s="23" t="s">
        <v>43</v>
      </c>
      <c r="Q163" s="23" t="s">
        <v>226</v>
      </c>
      <c r="R163" s="23" t="s">
        <v>225</v>
      </c>
      <c r="S163" s="24" t="s">
        <v>225</v>
      </c>
    </row>
    <row r="164" spans="1:19" ht="15.75" hidden="1" customHeight="1" x14ac:dyDescent="0.2">
      <c r="A164" s="9"/>
      <c r="B164" s="10"/>
      <c r="C164" s="9"/>
      <c r="D164" s="9"/>
      <c r="E164" s="33" t="s">
        <v>745</v>
      </c>
      <c r="F164" s="34" t="s">
        <v>746</v>
      </c>
      <c r="G164" s="35" t="s">
        <v>743</v>
      </c>
      <c r="H164" s="9"/>
      <c r="I164" s="9" t="s">
        <v>747</v>
      </c>
      <c r="J164" s="9" t="s">
        <v>43</v>
      </c>
      <c r="K164" s="9" t="s">
        <v>225</v>
      </c>
      <c r="L164" s="9" t="s">
        <v>225</v>
      </c>
      <c r="M164" s="9" t="s">
        <v>225</v>
      </c>
      <c r="N164" s="9"/>
      <c r="O164" s="22" t="s">
        <v>747</v>
      </c>
      <c r="P164" s="23" t="s">
        <v>43</v>
      </c>
      <c r="Q164" s="23" t="s">
        <v>225</v>
      </c>
      <c r="R164" s="23" t="s">
        <v>225</v>
      </c>
      <c r="S164" s="24" t="s">
        <v>225</v>
      </c>
    </row>
    <row r="165" spans="1:19" ht="15.75" hidden="1" customHeight="1" x14ac:dyDescent="0.2">
      <c r="A165" s="9"/>
      <c r="B165" s="10"/>
      <c r="C165" s="9"/>
      <c r="D165" s="9"/>
      <c r="E165" s="33" t="s">
        <v>748</v>
      </c>
      <c r="F165" s="34" t="s">
        <v>749</v>
      </c>
      <c r="G165" s="35" t="s">
        <v>743</v>
      </c>
      <c r="H165" s="9"/>
      <c r="I165" s="9" t="s">
        <v>750</v>
      </c>
      <c r="J165" s="9" t="s">
        <v>43</v>
      </c>
      <c r="K165" s="9" t="s">
        <v>225</v>
      </c>
      <c r="L165" s="9" t="s">
        <v>225</v>
      </c>
      <c r="M165" s="9" t="s">
        <v>226</v>
      </c>
      <c r="N165" s="9"/>
      <c r="O165" s="22" t="s">
        <v>750</v>
      </c>
      <c r="P165" s="23" t="s">
        <v>43</v>
      </c>
      <c r="Q165" s="23" t="s">
        <v>225</v>
      </c>
      <c r="R165" s="23" t="s">
        <v>225</v>
      </c>
      <c r="S165" s="24" t="s">
        <v>226</v>
      </c>
    </row>
    <row r="166" spans="1:19" ht="15.75" hidden="1" customHeight="1" x14ac:dyDescent="0.2">
      <c r="A166" s="9"/>
      <c r="B166" s="10"/>
      <c r="C166" s="9"/>
      <c r="D166" s="9"/>
      <c r="E166" s="33" t="s">
        <v>751</v>
      </c>
      <c r="F166" s="34" t="s">
        <v>752</v>
      </c>
      <c r="G166" s="35" t="s">
        <v>743</v>
      </c>
      <c r="H166" s="9"/>
      <c r="I166" s="9" t="s">
        <v>753</v>
      </c>
      <c r="J166" s="9" t="s">
        <v>43</v>
      </c>
      <c r="K166" s="9" t="s">
        <v>225</v>
      </c>
      <c r="L166" s="9" t="s">
        <v>225</v>
      </c>
      <c r="M166" s="9" t="s">
        <v>226</v>
      </c>
      <c r="N166" s="9"/>
      <c r="O166" s="22" t="s">
        <v>753</v>
      </c>
      <c r="P166" s="23" t="s">
        <v>43</v>
      </c>
      <c r="Q166" s="23" t="s">
        <v>225</v>
      </c>
      <c r="R166" s="23" t="s">
        <v>225</v>
      </c>
      <c r="S166" s="24" t="s">
        <v>226</v>
      </c>
    </row>
    <row r="167" spans="1:19" ht="15.75" hidden="1" customHeight="1" x14ac:dyDescent="0.2">
      <c r="A167" s="9"/>
      <c r="B167" s="10"/>
      <c r="C167" s="9"/>
      <c r="D167" s="9"/>
      <c r="E167" s="33" t="s">
        <v>754</v>
      </c>
      <c r="F167" s="34" t="s">
        <v>755</v>
      </c>
      <c r="G167" s="35" t="s">
        <v>756</v>
      </c>
      <c r="H167" s="9"/>
      <c r="I167" s="9" t="s">
        <v>757</v>
      </c>
      <c r="J167" s="9" t="s">
        <v>43</v>
      </c>
      <c r="K167" s="9" t="s">
        <v>225</v>
      </c>
      <c r="L167" s="9" t="s">
        <v>225</v>
      </c>
      <c r="M167" s="9" t="s">
        <v>226</v>
      </c>
      <c r="N167" s="9"/>
      <c r="O167" s="22" t="s">
        <v>757</v>
      </c>
      <c r="P167" s="23" t="s">
        <v>43</v>
      </c>
      <c r="Q167" s="23" t="s">
        <v>225</v>
      </c>
      <c r="R167" s="23" t="s">
        <v>225</v>
      </c>
      <c r="S167" s="24" t="s">
        <v>226</v>
      </c>
    </row>
    <row r="168" spans="1:19" ht="15.75" customHeight="1" x14ac:dyDescent="0.2">
      <c r="A168" s="9"/>
      <c r="B168" s="10"/>
      <c r="C168" s="9"/>
      <c r="D168" s="9"/>
      <c r="E168" s="33" t="s">
        <v>758</v>
      </c>
      <c r="F168" s="34" t="s">
        <v>759</v>
      </c>
      <c r="G168" s="35" t="s">
        <v>760</v>
      </c>
      <c r="H168" s="9"/>
      <c r="I168" s="9" t="s">
        <v>761</v>
      </c>
      <c r="J168" s="9" t="s">
        <v>43</v>
      </c>
      <c r="K168" s="9" t="s">
        <v>225</v>
      </c>
      <c r="L168" s="9" t="s">
        <v>225</v>
      </c>
      <c r="M168" s="9" t="s">
        <v>226</v>
      </c>
      <c r="N168" s="9"/>
      <c r="O168" s="22" t="s">
        <v>761</v>
      </c>
      <c r="P168" s="23" t="s">
        <v>43</v>
      </c>
      <c r="Q168" s="23" t="s">
        <v>225</v>
      </c>
      <c r="R168" s="23" t="s">
        <v>225</v>
      </c>
      <c r="S168" s="24" t="s">
        <v>226</v>
      </c>
    </row>
    <row r="169" spans="1:19" ht="15.75" hidden="1" customHeight="1" x14ac:dyDescent="0.2">
      <c r="A169" s="9"/>
      <c r="B169" s="10"/>
      <c r="C169" s="9"/>
      <c r="D169" s="9"/>
      <c r="E169" s="33" t="s">
        <v>762</v>
      </c>
      <c r="F169" s="34" t="s">
        <v>763</v>
      </c>
      <c r="G169" s="35" t="s">
        <v>249</v>
      </c>
      <c r="H169" s="9"/>
      <c r="I169" s="9" t="s">
        <v>764</v>
      </c>
      <c r="J169" s="9" t="s">
        <v>43</v>
      </c>
      <c r="K169" s="9" t="s">
        <v>225</v>
      </c>
      <c r="L169" s="9" t="s">
        <v>225</v>
      </c>
      <c r="M169" s="9" t="s">
        <v>226</v>
      </c>
      <c r="N169" s="9"/>
      <c r="O169" s="22" t="s">
        <v>764</v>
      </c>
      <c r="P169" s="23" t="s">
        <v>43</v>
      </c>
      <c r="Q169" s="23" t="s">
        <v>225</v>
      </c>
      <c r="R169" s="23" t="s">
        <v>225</v>
      </c>
      <c r="S169" s="24" t="s">
        <v>226</v>
      </c>
    </row>
    <row r="170" spans="1:19" ht="15.75" hidden="1" customHeight="1" x14ac:dyDescent="0.2">
      <c r="A170" s="9"/>
      <c r="B170" s="10"/>
      <c r="C170" s="9"/>
      <c r="D170" s="9"/>
      <c r="E170" s="33" t="s">
        <v>765</v>
      </c>
      <c r="F170" s="34" t="s">
        <v>766</v>
      </c>
      <c r="G170" s="35" t="s">
        <v>581</v>
      </c>
      <c r="H170" s="9"/>
      <c r="I170" s="9" t="s">
        <v>767</v>
      </c>
      <c r="J170" s="9" t="s">
        <v>43</v>
      </c>
      <c r="K170" s="9" t="s">
        <v>225</v>
      </c>
      <c r="L170" s="9" t="s">
        <v>225</v>
      </c>
      <c r="M170" s="9" t="s">
        <v>226</v>
      </c>
      <c r="N170" s="9"/>
      <c r="O170" s="22" t="s">
        <v>767</v>
      </c>
      <c r="P170" s="23" t="s">
        <v>43</v>
      </c>
      <c r="Q170" s="23" t="s">
        <v>225</v>
      </c>
      <c r="R170" s="23" t="s">
        <v>225</v>
      </c>
      <c r="S170" s="24" t="s">
        <v>226</v>
      </c>
    </row>
    <row r="171" spans="1:19" ht="15.75" hidden="1" customHeight="1" x14ac:dyDescent="0.2">
      <c r="A171" s="9"/>
      <c r="B171" s="10"/>
      <c r="C171" s="9"/>
      <c r="D171" s="9"/>
      <c r="E171" s="33" t="s">
        <v>768</v>
      </c>
      <c r="F171" s="34" t="s">
        <v>769</v>
      </c>
      <c r="G171" s="35" t="s">
        <v>581</v>
      </c>
      <c r="H171" s="9"/>
      <c r="I171" s="9" t="s">
        <v>770</v>
      </c>
      <c r="J171" s="9" t="s">
        <v>33</v>
      </c>
      <c r="K171" s="9" t="s">
        <v>225</v>
      </c>
      <c r="L171" s="9" t="s">
        <v>225</v>
      </c>
      <c r="M171" s="9" t="s">
        <v>226</v>
      </c>
      <c r="N171" s="9"/>
      <c r="O171" s="22" t="s">
        <v>770</v>
      </c>
      <c r="P171" s="23" t="s">
        <v>33</v>
      </c>
      <c r="Q171" s="23" t="s">
        <v>225</v>
      </c>
      <c r="R171" s="23" t="s">
        <v>225</v>
      </c>
      <c r="S171" s="24" t="s">
        <v>226</v>
      </c>
    </row>
    <row r="172" spans="1:19" ht="15.75" hidden="1" customHeight="1" x14ac:dyDescent="0.2">
      <c r="A172" s="9"/>
      <c r="B172" s="10"/>
      <c r="C172" s="9"/>
      <c r="D172" s="9"/>
      <c r="E172" s="33" t="s">
        <v>771</v>
      </c>
      <c r="F172" s="34" t="s">
        <v>772</v>
      </c>
      <c r="G172" s="35" t="s">
        <v>581</v>
      </c>
      <c r="H172" s="9"/>
      <c r="I172" s="9" t="s">
        <v>773</v>
      </c>
      <c r="J172" s="9" t="s">
        <v>33</v>
      </c>
      <c r="K172" s="9" t="s">
        <v>226</v>
      </c>
      <c r="L172" s="9" t="s">
        <v>225</v>
      </c>
      <c r="M172" s="9" t="s">
        <v>226</v>
      </c>
      <c r="N172" s="9"/>
      <c r="O172" s="22" t="s">
        <v>773</v>
      </c>
      <c r="P172" s="23" t="s">
        <v>33</v>
      </c>
      <c r="Q172" s="23" t="s">
        <v>226</v>
      </c>
      <c r="R172" s="23" t="s">
        <v>225</v>
      </c>
      <c r="S172" s="24" t="s">
        <v>226</v>
      </c>
    </row>
    <row r="173" spans="1:19" ht="15.75" hidden="1" customHeight="1" x14ac:dyDescent="0.2">
      <c r="A173" s="9"/>
      <c r="B173" s="10"/>
      <c r="C173" s="9"/>
      <c r="D173" s="9"/>
      <c r="E173" s="33" t="s">
        <v>774</v>
      </c>
      <c r="F173" s="34" t="s">
        <v>775</v>
      </c>
      <c r="G173" s="35" t="s">
        <v>581</v>
      </c>
      <c r="H173" s="9"/>
      <c r="I173" s="9" t="s">
        <v>776</v>
      </c>
      <c r="J173" s="9" t="s">
        <v>43</v>
      </c>
      <c r="K173" s="9" t="s">
        <v>226</v>
      </c>
      <c r="L173" s="9" t="s">
        <v>225</v>
      </c>
      <c r="M173" s="9" t="s">
        <v>226</v>
      </c>
      <c r="N173" s="9"/>
      <c r="O173" s="22" t="s">
        <v>776</v>
      </c>
      <c r="P173" s="23" t="s">
        <v>43</v>
      </c>
      <c r="Q173" s="23" t="s">
        <v>226</v>
      </c>
      <c r="R173" s="23" t="s">
        <v>225</v>
      </c>
      <c r="S173" s="24" t="s">
        <v>226</v>
      </c>
    </row>
    <row r="174" spans="1:19" ht="15.75" hidden="1" customHeight="1" x14ac:dyDescent="0.2">
      <c r="A174" s="9"/>
      <c r="B174" s="10"/>
      <c r="C174" s="9"/>
      <c r="D174" s="9"/>
      <c r="E174" s="33" t="s">
        <v>777</v>
      </c>
      <c r="F174" s="34" t="s">
        <v>778</v>
      </c>
      <c r="G174" s="35" t="s">
        <v>249</v>
      </c>
      <c r="H174" s="9"/>
      <c r="I174" s="9" t="s">
        <v>779</v>
      </c>
      <c r="J174" s="9" t="s">
        <v>43</v>
      </c>
      <c r="K174" s="9" t="s">
        <v>226</v>
      </c>
      <c r="L174" s="9" t="s">
        <v>225</v>
      </c>
      <c r="M174" s="9" t="s">
        <v>226</v>
      </c>
      <c r="N174" s="9"/>
      <c r="O174" s="22" t="s">
        <v>779</v>
      </c>
      <c r="P174" s="23" t="s">
        <v>43</v>
      </c>
      <c r="Q174" s="23" t="s">
        <v>226</v>
      </c>
      <c r="R174" s="23" t="s">
        <v>225</v>
      </c>
      <c r="S174" s="24" t="s">
        <v>226</v>
      </c>
    </row>
    <row r="175" spans="1:19" ht="15.75" hidden="1" customHeight="1" x14ac:dyDescent="0.2">
      <c r="A175" s="9"/>
      <c r="B175" s="10"/>
      <c r="C175" s="9"/>
      <c r="D175" s="9"/>
      <c r="E175" s="33" t="s">
        <v>780</v>
      </c>
      <c r="F175" s="34" t="s">
        <v>781</v>
      </c>
      <c r="G175" s="35" t="s">
        <v>249</v>
      </c>
      <c r="H175" s="9"/>
      <c r="I175" s="9" t="s">
        <v>782</v>
      </c>
      <c r="J175" s="9" t="s">
        <v>43</v>
      </c>
      <c r="K175" s="9" t="s">
        <v>226</v>
      </c>
      <c r="L175" s="9" t="s">
        <v>225</v>
      </c>
      <c r="M175" s="9" t="s">
        <v>226</v>
      </c>
      <c r="N175" s="9"/>
      <c r="O175" s="22" t="s">
        <v>782</v>
      </c>
      <c r="P175" s="23" t="s">
        <v>43</v>
      </c>
      <c r="Q175" s="23" t="s">
        <v>226</v>
      </c>
      <c r="R175" s="23" t="s">
        <v>225</v>
      </c>
      <c r="S175" s="24" t="s">
        <v>226</v>
      </c>
    </row>
    <row r="176" spans="1:19" ht="15.75" hidden="1" customHeight="1" x14ac:dyDescent="0.2">
      <c r="A176" s="9"/>
      <c r="B176" s="10"/>
      <c r="C176" s="9"/>
      <c r="D176" s="9"/>
      <c r="E176" s="33" t="s">
        <v>783</v>
      </c>
      <c r="F176" s="34" t="s">
        <v>784</v>
      </c>
      <c r="G176" s="35" t="s">
        <v>249</v>
      </c>
      <c r="H176" s="9"/>
      <c r="I176" s="9" t="s">
        <v>785</v>
      </c>
      <c r="J176" s="9" t="s">
        <v>43</v>
      </c>
      <c r="K176" s="9" t="s">
        <v>226</v>
      </c>
      <c r="L176" s="9" t="s">
        <v>225</v>
      </c>
      <c r="M176" s="9" t="s">
        <v>226</v>
      </c>
      <c r="N176" s="9"/>
      <c r="O176" s="22" t="s">
        <v>785</v>
      </c>
      <c r="P176" s="23" t="s">
        <v>43</v>
      </c>
      <c r="Q176" s="23" t="s">
        <v>226</v>
      </c>
      <c r="R176" s="23" t="s">
        <v>225</v>
      </c>
      <c r="S176" s="24" t="s">
        <v>226</v>
      </c>
    </row>
    <row r="177" spans="1:19" ht="15.75" hidden="1" customHeight="1" x14ac:dyDescent="0.2">
      <c r="A177" s="9"/>
      <c r="B177" s="10"/>
      <c r="C177" s="9"/>
      <c r="D177" s="9"/>
      <c r="E177" s="33" t="s">
        <v>786</v>
      </c>
      <c r="F177" s="34" t="s">
        <v>787</v>
      </c>
      <c r="G177" s="35" t="s">
        <v>249</v>
      </c>
      <c r="H177" s="9"/>
      <c r="I177" s="9" t="s">
        <v>788</v>
      </c>
      <c r="J177" s="9" t="s">
        <v>43</v>
      </c>
      <c r="K177" s="9" t="s">
        <v>225</v>
      </c>
      <c r="L177" s="9" t="s">
        <v>225</v>
      </c>
      <c r="M177" s="9" t="s">
        <v>225</v>
      </c>
      <c r="N177" s="9"/>
      <c r="O177" s="22" t="s">
        <v>788</v>
      </c>
      <c r="P177" s="23" t="s">
        <v>43</v>
      </c>
      <c r="Q177" s="23" t="s">
        <v>225</v>
      </c>
      <c r="R177" s="23" t="s">
        <v>225</v>
      </c>
      <c r="S177" s="24" t="s">
        <v>225</v>
      </c>
    </row>
    <row r="178" spans="1:19" ht="15.75" hidden="1" customHeight="1" x14ac:dyDescent="0.2">
      <c r="A178" s="9"/>
      <c r="B178" s="10"/>
      <c r="C178" s="9"/>
      <c r="D178" s="9"/>
      <c r="E178" s="33" t="s">
        <v>789</v>
      </c>
      <c r="F178" s="34" t="s">
        <v>790</v>
      </c>
      <c r="G178" s="35" t="s">
        <v>249</v>
      </c>
      <c r="H178" s="9"/>
      <c r="I178" s="9" t="s">
        <v>791</v>
      </c>
      <c r="J178" s="9" t="s">
        <v>43</v>
      </c>
      <c r="K178" s="9" t="s">
        <v>225</v>
      </c>
      <c r="L178" s="9" t="s">
        <v>225</v>
      </c>
      <c r="M178" s="9" t="s">
        <v>225</v>
      </c>
      <c r="N178" s="9"/>
      <c r="O178" s="22" t="s">
        <v>791</v>
      </c>
      <c r="P178" s="23" t="s">
        <v>43</v>
      </c>
      <c r="Q178" s="23" t="s">
        <v>225</v>
      </c>
      <c r="R178" s="23" t="s">
        <v>225</v>
      </c>
      <c r="S178" s="24" t="s">
        <v>225</v>
      </c>
    </row>
    <row r="179" spans="1:19" ht="15.75" hidden="1" customHeight="1" x14ac:dyDescent="0.2">
      <c r="A179" s="9"/>
      <c r="B179" s="10"/>
      <c r="C179" s="9"/>
      <c r="D179" s="9"/>
      <c r="E179" s="33" t="s">
        <v>792</v>
      </c>
      <c r="F179" s="34" t="s">
        <v>793</v>
      </c>
      <c r="G179" s="35" t="s">
        <v>249</v>
      </c>
      <c r="H179" s="9"/>
      <c r="I179" s="9" t="s">
        <v>794</v>
      </c>
      <c r="J179" s="9" t="s">
        <v>43</v>
      </c>
      <c r="K179" s="9" t="s">
        <v>225</v>
      </c>
      <c r="L179" s="9" t="s">
        <v>225</v>
      </c>
      <c r="M179" s="9" t="s">
        <v>225</v>
      </c>
      <c r="N179" s="9"/>
      <c r="O179" s="22" t="s">
        <v>794</v>
      </c>
      <c r="P179" s="23" t="s">
        <v>43</v>
      </c>
      <c r="Q179" s="23" t="s">
        <v>225</v>
      </c>
      <c r="R179" s="23" t="s">
        <v>225</v>
      </c>
      <c r="S179" s="24" t="s">
        <v>225</v>
      </c>
    </row>
    <row r="180" spans="1:19" ht="15.75" hidden="1" customHeight="1" x14ac:dyDescent="0.2">
      <c r="A180" s="9"/>
      <c r="B180" s="10"/>
      <c r="C180" s="9"/>
      <c r="D180" s="9"/>
      <c r="E180" s="33" t="s">
        <v>795</v>
      </c>
      <c r="F180" s="34" t="s">
        <v>796</v>
      </c>
      <c r="G180" s="35" t="s">
        <v>723</v>
      </c>
      <c r="H180" s="9"/>
      <c r="I180" s="9" t="s">
        <v>797</v>
      </c>
      <c r="J180" s="9" t="s">
        <v>43</v>
      </c>
      <c r="K180" s="9" t="s">
        <v>225</v>
      </c>
      <c r="L180" s="9" t="s">
        <v>225</v>
      </c>
      <c r="M180" s="9" t="s">
        <v>225</v>
      </c>
      <c r="N180" s="9"/>
      <c r="O180" s="22" t="s">
        <v>797</v>
      </c>
      <c r="P180" s="23" t="s">
        <v>43</v>
      </c>
      <c r="Q180" s="23" t="s">
        <v>225</v>
      </c>
      <c r="R180" s="23" t="s">
        <v>225</v>
      </c>
      <c r="S180" s="24" t="s">
        <v>225</v>
      </c>
    </row>
    <row r="181" spans="1:19" ht="15.75" hidden="1" customHeight="1" x14ac:dyDescent="0.2">
      <c r="A181" s="9"/>
      <c r="B181" s="10"/>
      <c r="C181" s="9"/>
      <c r="D181" s="9"/>
      <c r="E181" s="33" t="s">
        <v>798</v>
      </c>
      <c r="F181" s="34" t="s">
        <v>799</v>
      </c>
      <c r="G181" s="35" t="s">
        <v>223</v>
      </c>
      <c r="H181" s="9"/>
      <c r="I181" s="9" t="s">
        <v>800</v>
      </c>
      <c r="J181" s="9" t="s">
        <v>43</v>
      </c>
      <c r="K181" s="9" t="s">
        <v>226</v>
      </c>
      <c r="L181" s="9" t="s">
        <v>225</v>
      </c>
      <c r="M181" s="9" t="s">
        <v>225</v>
      </c>
      <c r="N181" s="9"/>
      <c r="O181" s="22" t="s">
        <v>800</v>
      </c>
      <c r="P181" s="23" t="s">
        <v>43</v>
      </c>
      <c r="Q181" s="23" t="s">
        <v>226</v>
      </c>
      <c r="R181" s="23" t="s">
        <v>225</v>
      </c>
      <c r="S181" s="24" t="s">
        <v>225</v>
      </c>
    </row>
    <row r="182" spans="1:19" ht="15.75" hidden="1" customHeight="1" x14ac:dyDescent="0.2">
      <c r="A182" s="9"/>
      <c r="B182" s="10"/>
      <c r="C182" s="9"/>
      <c r="D182" s="9"/>
      <c r="E182" s="33" t="s">
        <v>801</v>
      </c>
      <c r="F182" s="34" t="s">
        <v>802</v>
      </c>
      <c r="G182" s="35" t="s">
        <v>803</v>
      </c>
      <c r="H182" s="9"/>
      <c r="I182" s="9" t="s">
        <v>804</v>
      </c>
      <c r="J182" s="9" t="s">
        <v>43</v>
      </c>
      <c r="K182" s="9" t="s">
        <v>226</v>
      </c>
      <c r="L182" s="9" t="s">
        <v>225</v>
      </c>
      <c r="M182" s="9" t="s">
        <v>225</v>
      </c>
      <c r="O182" s="22" t="s">
        <v>804</v>
      </c>
      <c r="P182" s="23" t="s">
        <v>43</v>
      </c>
      <c r="Q182" s="23" t="s">
        <v>226</v>
      </c>
      <c r="R182" s="23" t="s">
        <v>225</v>
      </c>
      <c r="S182" s="24" t="s">
        <v>225</v>
      </c>
    </row>
    <row r="183" spans="1:19" ht="15.75" hidden="1" customHeight="1" x14ac:dyDescent="0.2">
      <c r="A183" s="9"/>
      <c r="B183" s="10"/>
      <c r="C183" s="9"/>
      <c r="D183" s="9"/>
      <c r="E183" s="33" t="s">
        <v>805</v>
      </c>
      <c r="F183" s="34" t="s">
        <v>806</v>
      </c>
      <c r="G183" s="35" t="s">
        <v>807</v>
      </c>
      <c r="H183" s="9"/>
      <c r="I183" s="9" t="s">
        <v>808</v>
      </c>
      <c r="J183" s="9" t="s">
        <v>43</v>
      </c>
      <c r="K183" s="9" t="s">
        <v>226</v>
      </c>
      <c r="L183" s="9" t="s">
        <v>225</v>
      </c>
      <c r="M183" s="9" t="s">
        <v>225</v>
      </c>
      <c r="N183" s="9"/>
      <c r="O183" s="22" t="s">
        <v>808</v>
      </c>
      <c r="P183" s="23" t="s">
        <v>43</v>
      </c>
      <c r="Q183" s="23" t="s">
        <v>226</v>
      </c>
      <c r="R183" s="23" t="s">
        <v>225</v>
      </c>
      <c r="S183" s="24" t="s">
        <v>225</v>
      </c>
    </row>
    <row r="184" spans="1:19" ht="15.75" hidden="1" customHeight="1" x14ac:dyDescent="0.2">
      <c r="A184" s="9"/>
      <c r="B184" s="10"/>
      <c r="C184" s="9"/>
      <c r="D184" s="9"/>
      <c r="E184" s="33" t="s">
        <v>809</v>
      </c>
      <c r="F184" s="34" t="s">
        <v>810</v>
      </c>
      <c r="G184" s="35" t="s">
        <v>811</v>
      </c>
      <c r="H184" s="9"/>
      <c r="I184" s="9" t="s">
        <v>812</v>
      </c>
      <c r="J184" s="9" t="s">
        <v>43</v>
      </c>
      <c r="K184" s="9" t="s">
        <v>226</v>
      </c>
      <c r="L184" s="9" t="s">
        <v>225</v>
      </c>
      <c r="M184" s="9" t="s">
        <v>225</v>
      </c>
      <c r="N184" s="9"/>
      <c r="O184" s="22" t="s">
        <v>812</v>
      </c>
      <c r="P184" s="23" t="s">
        <v>43</v>
      </c>
      <c r="Q184" s="23" t="s">
        <v>226</v>
      </c>
      <c r="R184" s="23" t="s">
        <v>225</v>
      </c>
      <c r="S184" s="24" t="s">
        <v>225</v>
      </c>
    </row>
    <row r="185" spans="1:19" ht="15.75" hidden="1" customHeight="1" x14ac:dyDescent="0.2">
      <c r="A185" s="9"/>
      <c r="B185" s="10"/>
      <c r="C185" s="9"/>
      <c r="D185" s="9"/>
      <c r="E185" s="33" t="s">
        <v>813</v>
      </c>
      <c r="F185" s="34" t="s">
        <v>814</v>
      </c>
      <c r="G185" s="35" t="s">
        <v>249</v>
      </c>
      <c r="H185" s="9"/>
      <c r="I185" s="9" t="s">
        <v>815</v>
      </c>
      <c r="J185" s="9" t="s">
        <v>43</v>
      </c>
      <c r="K185" s="9" t="s">
        <v>226</v>
      </c>
      <c r="L185" s="9" t="s">
        <v>225</v>
      </c>
      <c r="M185" s="9" t="s">
        <v>225</v>
      </c>
      <c r="N185" s="9"/>
      <c r="O185" s="22" t="s">
        <v>815</v>
      </c>
      <c r="P185" s="23" t="s">
        <v>43</v>
      </c>
      <c r="Q185" s="23" t="s">
        <v>226</v>
      </c>
      <c r="R185" s="23" t="s">
        <v>225</v>
      </c>
      <c r="S185" s="24" t="s">
        <v>225</v>
      </c>
    </row>
    <row r="186" spans="1:19" ht="15.75" hidden="1" customHeight="1" x14ac:dyDescent="0.2">
      <c r="A186" s="9"/>
      <c r="B186" s="10"/>
      <c r="C186" s="9"/>
      <c r="D186" s="9"/>
      <c r="E186" s="33" t="s">
        <v>816</v>
      </c>
      <c r="F186" s="34" t="s">
        <v>817</v>
      </c>
      <c r="G186" s="35" t="s">
        <v>581</v>
      </c>
      <c r="H186" s="9"/>
      <c r="I186" s="9" t="s">
        <v>818</v>
      </c>
      <c r="J186" s="9" t="s">
        <v>43</v>
      </c>
      <c r="K186" s="9" t="s">
        <v>226</v>
      </c>
      <c r="L186" s="9" t="s">
        <v>225</v>
      </c>
      <c r="M186" s="9" t="s">
        <v>225</v>
      </c>
      <c r="N186" s="9"/>
      <c r="O186" s="22" t="s">
        <v>818</v>
      </c>
      <c r="P186" s="23" t="s">
        <v>43</v>
      </c>
      <c r="Q186" s="23" t="s">
        <v>226</v>
      </c>
      <c r="R186" s="23" t="s">
        <v>225</v>
      </c>
      <c r="S186" s="24" t="s">
        <v>225</v>
      </c>
    </row>
    <row r="187" spans="1:19" ht="15.75" hidden="1" customHeight="1" x14ac:dyDescent="0.2">
      <c r="A187" s="9"/>
      <c r="B187" s="10"/>
      <c r="C187" s="9"/>
      <c r="D187" s="9"/>
      <c r="E187" s="33" t="s">
        <v>819</v>
      </c>
      <c r="F187" s="34" t="s">
        <v>820</v>
      </c>
      <c r="G187" s="35" t="s">
        <v>821</v>
      </c>
      <c r="H187" s="9"/>
      <c r="I187" s="9" t="s">
        <v>822</v>
      </c>
      <c r="J187" s="9" t="s">
        <v>43</v>
      </c>
      <c r="K187" s="9" t="s">
        <v>226</v>
      </c>
      <c r="L187" s="9" t="s">
        <v>225</v>
      </c>
      <c r="M187" s="9" t="s">
        <v>225</v>
      </c>
      <c r="N187" s="9"/>
      <c r="O187" s="22" t="s">
        <v>822</v>
      </c>
      <c r="P187" s="23" t="s">
        <v>43</v>
      </c>
      <c r="Q187" s="23" t="s">
        <v>226</v>
      </c>
      <c r="R187" s="23" t="s">
        <v>225</v>
      </c>
      <c r="S187" s="24" t="s">
        <v>225</v>
      </c>
    </row>
    <row r="188" spans="1:19" ht="15.75" hidden="1" customHeight="1" x14ac:dyDescent="0.2">
      <c r="A188" s="9"/>
      <c r="B188" s="10"/>
      <c r="C188" s="9"/>
      <c r="D188" s="9"/>
      <c r="E188" s="33" t="s">
        <v>823</v>
      </c>
      <c r="F188" s="34" t="s">
        <v>824</v>
      </c>
      <c r="G188" s="35" t="s">
        <v>223</v>
      </c>
      <c r="H188" s="9"/>
      <c r="I188" s="9" t="s">
        <v>825</v>
      </c>
      <c r="J188" s="9" t="s">
        <v>43</v>
      </c>
      <c r="K188" s="9" t="s">
        <v>226</v>
      </c>
      <c r="L188" s="9" t="s">
        <v>225</v>
      </c>
      <c r="M188" s="9" t="s">
        <v>225</v>
      </c>
      <c r="N188" s="9"/>
      <c r="O188" s="22" t="s">
        <v>825</v>
      </c>
      <c r="P188" s="23" t="s">
        <v>43</v>
      </c>
      <c r="Q188" s="23" t="s">
        <v>226</v>
      </c>
      <c r="R188" s="23" t="s">
        <v>225</v>
      </c>
      <c r="S188" s="24" t="s">
        <v>225</v>
      </c>
    </row>
    <row r="189" spans="1:19" ht="15.75" hidden="1" customHeight="1" x14ac:dyDescent="0.2">
      <c r="A189" s="9"/>
      <c r="B189" s="10"/>
      <c r="C189" s="9"/>
      <c r="D189" s="9"/>
      <c r="E189" s="33" t="s">
        <v>826</v>
      </c>
      <c r="F189" s="34" t="s">
        <v>827</v>
      </c>
      <c r="G189" s="35" t="s">
        <v>828</v>
      </c>
      <c r="H189" s="9"/>
      <c r="I189" s="9" t="s">
        <v>829</v>
      </c>
      <c r="J189" s="9" t="s">
        <v>43</v>
      </c>
      <c r="K189" s="9" t="s">
        <v>226</v>
      </c>
      <c r="L189" s="9" t="s">
        <v>225</v>
      </c>
      <c r="M189" s="9" t="s">
        <v>225</v>
      </c>
      <c r="N189" s="9"/>
      <c r="O189" s="22" t="s">
        <v>829</v>
      </c>
      <c r="P189" s="23" t="s">
        <v>43</v>
      </c>
      <c r="Q189" s="23" t="s">
        <v>226</v>
      </c>
      <c r="R189" s="23" t="s">
        <v>225</v>
      </c>
      <c r="S189" s="24" t="s">
        <v>225</v>
      </c>
    </row>
    <row r="190" spans="1:19" ht="15.75" hidden="1" customHeight="1" x14ac:dyDescent="0.2">
      <c r="A190" s="9"/>
      <c r="B190" s="10"/>
      <c r="C190" s="9"/>
      <c r="D190" s="9"/>
      <c r="E190" s="33" t="s">
        <v>830</v>
      </c>
      <c r="F190" s="34" t="s">
        <v>831</v>
      </c>
      <c r="G190" s="35" t="s">
        <v>832</v>
      </c>
      <c r="H190" s="9"/>
      <c r="I190" s="9" t="s">
        <v>833</v>
      </c>
      <c r="J190" s="9" t="s">
        <v>43</v>
      </c>
      <c r="K190" s="9" t="s">
        <v>226</v>
      </c>
      <c r="L190" s="9" t="s">
        <v>225</v>
      </c>
      <c r="M190" s="9" t="s">
        <v>225</v>
      </c>
      <c r="N190" s="9"/>
      <c r="O190" s="22" t="s">
        <v>833</v>
      </c>
      <c r="P190" s="23" t="s">
        <v>43</v>
      </c>
      <c r="Q190" s="23" t="s">
        <v>226</v>
      </c>
      <c r="R190" s="23" t="s">
        <v>225</v>
      </c>
      <c r="S190" s="24" t="s">
        <v>225</v>
      </c>
    </row>
    <row r="191" spans="1:19" ht="15.75" hidden="1" customHeight="1" x14ac:dyDescent="0.2">
      <c r="A191" s="9"/>
      <c r="B191" s="10"/>
      <c r="C191" s="9"/>
      <c r="D191" s="9"/>
      <c r="E191" s="33" t="s">
        <v>834</v>
      </c>
      <c r="F191" s="34" t="s">
        <v>835</v>
      </c>
      <c r="G191" s="35" t="s">
        <v>375</v>
      </c>
      <c r="H191" s="9"/>
      <c r="I191" s="9" t="s">
        <v>836</v>
      </c>
      <c r="J191" s="9" t="s">
        <v>43</v>
      </c>
      <c r="K191" s="9" t="s">
        <v>226</v>
      </c>
      <c r="L191" s="9" t="s">
        <v>225</v>
      </c>
      <c r="M191" s="9" t="s">
        <v>225</v>
      </c>
      <c r="N191" s="9"/>
      <c r="O191" s="22" t="s">
        <v>836</v>
      </c>
      <c r="P191" s="23" t="s">
        <v>43</v>
      </c>
      <c r="Q191" s="23" t="s">
        <v>226</v>
      </c>
      <c r="R191" s="23" t="s">
        <v>225</v>
      </c>
      <c r="S191" s="24" t="s">
        <v>225</v>
      </c>
    </row>
    <row r="192" spans="1:19" ht="15.75" hidden="1" customHeight="1" x14ac:dyDescent="0.2">
      <c r="A192" s="9"/>
      <c r="B192" s="10"/>
      <c r="C192" s="9"/>
      <c r="D192" s="9"/>
      <c r="E192" s="33" t="s">
        <v>837</v>
      </c>
      <c r="F192" s="34" t="s">
        <v>838</v>
      </c>
      <c r="G192" s="35" t="s">
        <v>839</v>
      </c>
      <c r="H192" s="9"/>
      <c r="I192" s="9" t="s">
        <v>840</v>
      </c>
      <c r="J192" s="9" t="s">
        <v>43</v>
      </c>
      <c r="K192" s="9" t="s">
        <v>226</v>
      </c>
      <c r="L192" s="9" t="s">
        <v>225</v>
      </c>
      <c r="M192" s="9" t="s">
        <v>225</v>
      </c>
      <c r="O192" s="22" t="s">
        <v>840</v>
      </c>
      <c r="P192" s="23" t="s">
        <v>43</v>
      </c>
      <c r="Q192" s="23" t="s">
        <v>226</v>
      </c>
      <c r="R192" s="23" t="s">
        <v>225</v>
      </c>
      <c r="S192" s="24" t="s">
        <v>225</v>
      </c>
    </row>
    <row r="193" spans="1:19" ht="15.75" hidden="1" customHeight="1" x14ac:dyDescent="0.2">
      <c r="A193" s="9"/>
      <c r="B193" s="10"/>
      <c r="C193" s="9"/>
      <c r="D193" s="9"/>
      <c r="E193" s="33" t="s">
        <v>841</v>
      </c>
      <c r="F193" s="34" t="s">
        <v>842</v>
      </c>
      <c r="G193" s="35" t="s">
        <v>843</v>
      </c>
      <c r="H193" s="9"/>
      <c r="I193" s="9" t="s">
        <v>844</v>
      </c>
      <c r="J193" s="9" t="s">
        <v>43</v>
      </c>
      <c r="K193" s="9" t="s">
        <v>226</v>
      </c>
      <c r="L193" s="9" t="s">
        <v>225</v>
      </c>
      <c r="M193" s="9" t="s">
        <v>225</v>
      </c>
      <c r="N193" s="9"/>
      <c r="O193" s="22" t="s">
        <v>844</v>
      </c>
      <c r="P193" s="23" t="s">
        <v>43</v>
      </c>
      <c r="Q193" s="23" t="s">
        <v>226</v>
      </c>
      <c r="R193" s="23" t="s">
        <v>225</v>
      </c>
      <c r="S193" s="24" t="s">
        <v>225</v>
      </c>
    </row>
    <row r="194" spans="1:19" ht="15.75" hidden="1" customHeight="1" x14ac:dyDescent="0.2">
      <c r="A194" s="9"/>
      <c r="B194" s="10"/>
      <c r="C194" s="9"/>
      <c r="D194" s="9"/>
      <c r="E194" s="33" t="s">
        <v>845</v>
      </c>
      <c r="F194" s="34" t="s">
        <v>846</v>
      </c>
      <c r="G194" s="35" t="s">
        <v>843</v>
      </c>
      <c r="H194" s="9"/>
      <c r="I194" s="9" t="s">
        <v>847</v>
      </c>
      <c r="J194" s="9" t="s">
        <v>43</v>
      </c>
      <c r="K194" s="9" t="s">
        <v>226</v>
      </c>
      <c r="L194" s="9" t="s">
        <v>225</v>
      </c>
      <c r="M194" s="9" t="s">
        <v>225</v>
      </c>
      <c r="N194" s="9"/>
      <c r="O194" s="22" t="s">
        <v>847</v>
      </c>
      <c r="P194" s="23" t="s">
        <v>43</v>
      </c>
      <c r="Q194" s="23" t="s">
        <v>226</v>
      </c>
      <c r="R194" s="23" t="s">
        <v>225</v>
      </c>
      <c r="S194" s="24" t="s">
        <v>225</v>
      </c>
    </row>
    <row r="195" spans="1:19" ht="15.75" hidden="1" customHeight="1" x14ac:dyDescent="0.2">
      <c r="A195" s="9"/>
      <c r="B195" s="10"/>
      <c r="C195" s="9"/>
      <c r="D195" s="9"/>
      <c r="E195" s="33" t="s">
        <v>848</v>
      </c>
      <c r="F195" s="34" t="s">
        <v>849</v>
      </c>
      <c r="G195" s="35" t="s">
        <v>843</v>
      </c>
      <c r="H195" s="9"/>
      <c r="I195" s="9" t="s">
        <v>850</v>
      </c>
      <c r="J195" s="9" t="s">
        <v>43</v>
      </c>
      <c r="K195" s="9" t="s">
        <v>226</v>
      </c>
      <c r="L195" s="9" t="s">
        <v>225</v>
      </c>
      <c r="M195" s="9" t="s">
        <v>225</v>
      </c>
      <c r="N195" s="9"/>
      <c r="O195" s="22" t="s">
        <v>850</v>
      </c>
      <c r="P195" s="23" t="s">
        <v>43</v>
      </c>
      <c r="Q195" s="23" t="s">
        <v>226</v>
      </c>
      <c r="R195" s="23" t="s">
        <v>225</v>
      </c>
      <c r="S195" s="24" t="s">
        <v>225</v>
      </c>
    </row>
    <row r="196" spans="1:19" ht="15.75" hidden="1" customHeight="1" x14ac:dyDescent="0.2">
      <c r="A196" s="9"/>
      <c r="B196" s="10"/>
      <c r="C196" s="9"/>
      <c r="D196" s="9"/>
      <c r="E196" s="33" t="s">
        <v>851</v>
      </c>
      <c r="F196" s="34" t="s">
        <v>852</v>
      </c>
      <c r="G196" s="35" t="s">
        <v>843</v>
      </c>
      <c r="H196" s="9"/>
      <c r="I196" s="9" t="s">
        <v>853</v>
      </c>
      <c r="J196" s="9" t="s">
        <v>43</v>
      </c>
      <c r="K196" s="9" t="s">
        <v>226</v>
      </c>
      <c r="L196" s="9" t="s">
        <v>225</v>
      </c>
      <c r="M196" s="9" t="s">
        <v>225</v>
      </c>
      <c r="N196" s="9"/>
      <c r="O196" s="22" t="s">
        <v>853</v>
      </c>
      <c r="P196" s="23" t="s">
        <v>43</v>
      </c>
      <c r="Q196" s="23" t="s">
        <v>226</v>
      </c>
      <c r="R196" s="23" t="s">
        <v>225</v>
      </c>
      <c r="S196" s="24" t="s">
        <v>225</v>
      </c>
    </row>
    <row r="197" spans="1:19" ht="15.75" hidden="1" customHeight="1" x14ac:dyDescent="0.2">
      <c r="A197" s="9"/>
      <c r="B197" s="10"/>
      <c r="C197" s="9"/>
      <c r="D197" s="9"/>
      <c r="E197" s="33" t="s">
        <v>854</v>
      </c>
      <c r="F197" s="34" t="s">
        <v>498</v>
      </c>
      <c r="G197" s="35" t="s">
        <v>223</v>
      </c>
      <c r="H197" s="9"/>
      <c r="I197" s="9" t="s">
        <v>855</v>
      </c>
      <c r="J197" s="9" t="s">
        <v>43</v>
      </c>
      <c r="K197" s="9" t="s">
        <v>226</v>
      </c>
      <c r="L197" s="9" t="s">
        <v>225</v>
      </c>
      <c r="M197" s="9" t="s">
        <v>225</v>
      </c>
      <c r="N197" s="9"/>
      <c r="O197" s="22" t="s">
        <v>855</v>
      </c>
      <c r="P197" s="23" t="s">
        <v>43</v>
      </c>
      <c r="Q197" s="23" t="s">
        <v>226</v>
      </c>
      <c r="R197" s="23" t="s">
        <v>225</v>
      </c>
      <c r="S197" s="24" t="s">
        <v>225</v>
      </c>
    </row>
    <row r="198" spans="1:19" ht="15.75" hidden="1" customHeight="1" x14ac:dyDescent="0.2">
      <c r="A198" s="9"/>
      <c r="B198" s="10"/>
      <c r="C198" s="9"/>
      <c r="D198" s="9"/>
      <c r="E198" s="33" t="s">
        <v>856</v>
      </c>
      <c r="F198" s="34" t="s">
        <v>319</v>
      </c>
      <c r="G198" s="35" t="s">
        <v>223</v>
      </c>
      <c r="H198" s="9"/>
      <c r="I198" s="9" t="s">
        <v>857</v>
      </c>
      <c r="J198" s="9" t="s">
        <v>43</v>
      </c>
      <c r="K198" s="9" t="s">
        <v>226</v>
      </c>
      <c r="L198" s="9" t="s">
        <v>225</v>
      </c>
      <c r="M198" s="9" t="s">
        <v>225</v>
      </c>
      <c r="N198" s="9"/>
      <c r="O198" s="22" t="s">
        <v>857</v>
      </c>
      <c r="P198" s="23" t="s">
        <v>43</v>
      </c>
      <c r="Q198" s="23" t="s">
        <v>226</v>
      </c>
      <c r="R198" s="23" t="s">
        <v>225</v>
      </c>
      <c r="S198" s="24" t="s">
        <v>225</v>
      </c>
    </row>
    <row r="199" spans="1:19" ht="15.75" hidden="1" customHeight="1" x14ac:dyDescent="0.2">
      <c r="A199" s="9"/>
      <c r="B199" s="10"/>
      <c r="C199" s="9"/>
      <c r="D199" s="9"/>
      <c r="E199" s="33" t="s">
        <v>858</v>
      </c>
      <c r="F199" s="34" t="s">
        <v>230</v>
      </c>
      <c r="G199" s="35" t="s">
        <v>223</v>
      </c>
      <c r="H199" s="9"/>
      <c r="I199" s="9" t="s">
        <v>859</v>
      </c>
      <c r="J199" s="9" t="s">
        <v>43</v>
      </c>
      <c r="K199" s="9" t="s">
        <v>225</v>
      </c>
      <c r="L199" s="9" t="s">
        <v>225</v>
      </c>
      <c r="M199" s="9" t="s">
        <v>225</v>
      </c>
      <c r="N199" s="9"/>
      <c r="O199" s="22" t="s">
        <v>859</v>
      </c>
      <c r="P199" s="23" t="s">
        <v>43</v>
      </c>
      <c r="Q199" s="23" t="s">
        <v>225</v>
      </c>
      <c r="R199" s="23" t="s">
        <v>225</v>
      </c>
      <c r="S199" s="24" t="s">
        <v>225</v>
      </c>
    </row>
    <row r="200" spans="1:19" ht="15.75" hidden="1" customHeight="1" x14ac:dyDescent="0.2">
      <c r="A200" s="9"/>
      <c r="B200" s="10"/>
      <c r="C200" s="9"/>
      <c r="D200" s="9"/>
      <c r="E200" s="33" t="s">
        <v>860</v>
      </c>
      <c r="F200" s="34" t="s">
        <v>861</v>
      </c>
      <c r="G200" s="35" t="s">
        <v>375</v>
      </c>
      <c r="H200" s="9"/>
      <c r="I200" s="9" t="s">
        <v>862</v>
      </c>
      <c r="J200" s="9" t="s">
        <v>43</v>
      </c>
      <c r="K200" s="9" t="s">
        <v>226</v>
      </c>
      <c r="L200" s="9" t="s">
        <v>225</v>
      </c>
      <c r="M200" s="9" t="s">
        <v>225</v>
      </c>
      <c r="N200" s="9"/>
      <c r="O200" s="22" t="s">
        <v>862</v>
      </c>
      <c r="P200" s="23" t="s">
        <v>43</v>
      </c>
      <c r="Q200" s="23" t="s">
        <v>226</v>
      </c>
      <c r="R200" s="23" t="s">
        <v>225</v>
      </c>
      <c r="S200" s="24" t="s">
        <v>225</v>
      </c>
    </row>
    <row r="201" spans="1:19" ht="15.75" hidden="1" customHeight="1" x14ac:dyDescent="0.2">
      <c r="A201" s="9"/>
      <c r="B201" s="10"/>
      <c r="C201" s="9"/>
      <c r="D201" s="9"/>
      <c r="E201" s="33" t="s">
        <v>863</v>
      </c>
      <c r="F201" s="34" t="s">
        <v>864</v>
      </c>
      <c r="G201" s="35" t="s">
        <v>760</v>
      </c>
      <c r="H201" s="9"/>
      <c r="I201" s="9" t="s">
        <v>865</v>
      </c>
      <c r="J201" s="9" t="s">
        <v>43</v>
      </c>
      <c r="K201" s="9" t="s">
        <v>226</v>
      </c>
      <c r="L201" s="9" t="s">
        <v>225</v>
      </c>
      <c r="M201" s="9" t="s">
        <v>225</v>
      </c>
      <c r="N201" s="9"/>
      <c r="O201" s="22" t="s">
        <v>865</v>
      </c>
      <c r="P201" s="23" t="s">
        <v>43</v>
      </c>
      <c r="Q201" s="23" t="s">
        <v>226</v>
      </c>
      <c r="R201" s="23" t="s">
        <v>225</v>
      </c>
      <c r="S201" s="24" t="s">
        <v>225</v>
      </c>
    </row>
    <row r="202" spans="1:19" ht="15.75" hidden="1" customHeight="1" x14ac:dyDescent="0.2">
      <c r="A202" s="9"/>
      <c r="B202" s="10"/>
      <c r="C202" s="9"/>
      <c r="D202" s="9"/>
      <c r="E202" s="33" t="s">
        <v>866</v>
      </c>
      <c r="F202" s="34" t="s">
        <v>495</v>
      </c>
      <c r="G202" s="35" t="s">
        <v>223</v>
      </c>
      <c r="H202" s="9"/>
      <c r="I202" s="9" t="s">
        <v>867</v>
      </c>
      <c r="J202" s="9" t="s">
        <v>43</v>
      </c>
      <c r="K202" s="9" t="s">
        <v>226</v>
      </c>
      <c r="L202" s="9" t="s">
        <v>225</v>
      </c>
      <c r="M202" s="9" t="s">
        <v>225</v>
      </c>
      <c r="N202" s="9"/>
      <c r="O202" s="22" t="s">
        <v>867</v>
      </c>
      <c r="P202" s="23" t="s">
        <v>43</v>
      </c>
      <c r="Q202" s="23" t="s">
        <v>226</v>
      </c>
      <c r="R202" s="23" t="s">
        <v>225</v>
      </c>
      <c r="S202" s="24" t="s">
        <v>225</v>
      </c>
    </row>
    <row r="203" spans="1:19" ht="15.75" hidden="1" customHeight="1" x14ac:dyDescent="0.2">
      <c r="A203" s="9"/>
      <c r="B203" s="10"/>
      <c r="C203" s="9"/>
      <c r="D203" s="9"/>
      <c r="E203" s="33" t="s">
        <v>868</v>
      </c>
      <c r="F203" s="34" t="s">
        <v>869</v>
      </c>
      <c r="G203" s="35" t="s">
        <v>375</v>
      </c>
      <c r="H203" s="9"/>
      <c r="I203" s="9" t="s">
        <v>870</v>
      </c>
      <c r="J203" s="9" t="s">
        <v>43</v>
      </c>
      <c r="K203" s="9" t="s">
        <v>225</v>
      </c>
      <c r="L203" s="9" t="s">
        <v>225</v>
      </c>
      <c r="M203" s="9" t="s">
        <v>226</v>
      </c>
      <c r="N203" s="9"/>
      <c r="O203" s="22" t="s">
        <v>870</v>
      </c>
      <c r="P203" s="23" t="s">
        <v>43</v>
      </c>
      <c r="Q203" s="23" t="s">
        <v>225</v>
      </c>
      <c r="R203" s="23" t="s">
        <v>225</v>
      </c>
      <c r="S203" s="24" t="s">
        <v>226</v>
      </c>
    </row>
    <row r="204" spans="1:19" ht="15.75" hidden="1" customHeight="1" x14ac:dyDescent="0.2">
      <c r="A204" s="9"/>
      <c r="B204" s="10"/>
      <c r="C204" s="9"/>
      <c r="D204" s="9"/>
      <c r="E204" s="14" t="s">
        <v>111</v>
      </c>
      <c r="F204" s="15" t="s">
        <v>871</v>
      </c>
      <c r="G204" s="16" t="s">
        <v>223</v>
      </c>
      <c r="H204" s="9"/>
      <c r="I204" s="9" t="s">
        <v>872</v>
      </c>
      <c r="J204" s="9" t="s">
        <v>43</v>
      </c>
      <c r="K204" s="9" t="s">
        <v>226</v>
      </c>
      <c r="L204" s="9" t="s">
        <v>225</v>
      </c>
      <c r="M204" s="9" t="s">
        <v>226</v>
      </c>
      <c r="O204" s="22" t="s">
        <v>872</v>
      </c>
      <c r="P204" s="23" t="s">
        <v>43</v>
      </c>
      <c r="Q204" s="23" t="s">
        <v>226</v>
      </c>
      <c r="R204" s="23" t="s">
        <v>225</v>
      </c>
      <c r="S204" s="24" t="s">
        <v>226</v>
      </c>
    </row>
    <row r="205" spans="1:19" ht="15.75" hidden="1" customHeight="1" x14ac:dyDescent="0.2">
      <c r="A205" s="9"/>
      <c r="B205" s="10"/>
      <c r="C205" s="9"/>
      <c r="D205" s="9"/>
      <c r="E205" s="14" t="s">
        <v>873</v>
      </c>
      <c r="F205" s="15" t="s">
        <v>874</v>
      </c>
      <c r="G205" s="16" t="s">
        <v>223</v>
      </c>
      <c r="H205" s="9"/>
      <c r="I205" s="9" t="s">
        <v>875</v>
      </c>
      <c r="J205" s="9" t="s">
        <v>43</v>
      </c>
      <c r="K205" s="9" t="s">
        <v>226</v>
      </c>
      <c r="L205" s="9" t="s">
        <v>225</v>
      </c>
      <c r="M205" s="9" t="s">
        <v>226</v>
      </c>
      <c r="N205" s="9"/>
      <c r="O205" s="22" t="s">
        <v>875</v>
      </c>
      <c r="P205" s="23" t="s">
        <v>43</v>
      </c>
      <c r="Q205" s="23" t="s">
        <v>226</v>
      </c>
      <c r="R205" s="23" t="s">
        <v>225</v>
      </c>
      <c r="S205" s="24" t="s">
        <v>226</v>
      </c>
    </row>
    <row r="206" spans="1:19" ht="15.75" hidden="1" customHeight="1" x14ac:dyDescent="0.2">
      <c r="A206" s="9"/>
      <c r="B206" s="10"/>
      <c r="C206" s="9"/>
      <c r="D206" s="9"/>
      <c r="E206" s="14" t="s">
        <v>876</v>
      </c>
      <c r="F206" s="15" t="s">
        <v>877</v>
      </c>
      <c r="G206" s="16" t="s">
        <v>878</v>
      </c>
      <c r="H206" s="9"/>
      <c r="I206" s="9" t="s">
        <v>879</v>
      </c>
      <c r="J206" s="9" t="s">
        <v>43</v>
      </c>
      <c r="K206" s="9" t="s">
        <v>225</v>
      </c>
      <c r="L206" s="9" t="s">
        <v>225</v>
      </c>
      <c r="M206" s="9" t="s">
        <v>226</v>
      </c>
      <c r="N206" s="9"/>
      <c r="O206" s="22" t="s">
        <v>879</v>
      </c>
      <c r="P206" s="23" t="s">
        <v>43</v>
      </c>
      <c r="Q206" s="23" t="s">
        <v>225</v>
      </c>
      <c r="R206" s="23" t="s">
        <v>225</v>
      </c>
      <c r="S206" s="24" t="s">
        <v>226</v>
      </c>
    </row>
    <row r="207" spans="1:19" ht="15.75" hidden="1" customHeight="1" x14ac:dyDescent="0.2">
      <c r="A207" s="9"/>
      <c r="B207" s="10"/>
      <c r="C207" s="9"/>
      <c r="D207" s="9"/>
      <c r="E207" s="14" t="s">
        <v>880</v>
      </c>
      <c r="F207" s="15" t="s">
        <v>881</v>
      </c>
      <c r="G207" s="16" t="s">
        <v>882</v>
      </c>
      <c r="H207" s="9"/>
      <c r="I207" s="9" t="s">
        <v>883</v>
      </c>
      <c r="J207" s="9" t="s">
        <v>43</v>
      </c>
      <c r="K207" s="9" t="s">
        <v>225</v>
      </c>
      <c r="L207" s="9" t="s">
        <v>225</v>
      </c>
      <c r="M207" s="9" t="s">
        <v>225</v>
      </c>
      <c r="N207" s="9"/>
      <c r="O207" s="22" t="s">
        <v>883</v>
      </c>
      <c r="P207" s="23" t="s">
        <v>43</v>
      </c>
      <c r="Q207" s="23" t="s">
        <v>225</v>
      </c>
      <c r="R207" s="23" t="s">
        <v>225</v>
      </c>
      <c r="S207" s="24" t="s">
        <v>225</v>
      </c>
    </row>
    <row r="208" spans="1:19" ht="15.75" hidden="1" customHeight="1" x14ac:dyDescent="0.2">
      <c r="A208" s="9"/>
      <c r="B208" s="10"/>
      <c r="C208" s="9"/>
      <c r="D208" s="9"/>
      <c r="E208" s="14" t="s">
        <v>884</v>
      </c>
      <c r="F208" s="15" t="s">
        <v>885</v>
      </c>
      <c r="G208" s="16" t="s">
        <v>886</v>
      </c>
      <c r="H208" s="9"/>
      <c r="I208" s="9" t="s">
        <v>887</v>
      </c>
      <c r="J208" s="9" t="s">
        <v>43</v>
      </c>
      <c r="K208" s="9" t="s">
        <v>226</v>
      </c>
      <c r="L208" s="9" t="s">
        <v>225</v>
      </c>
      <c r="M208" s="9" t="s">
        <v>225</v>
      </c>
      <c r="N208" s="9"/>
      <c r="O208" s="22" t="s">
        <v>887</v>
      </c>
      <c r="P208" s="23" t="s">
        <v>43</v>
      </c>
      <c r="Q208" s="23" t="s">
        <v>226</v>
      </c>
      <c r="R208" s="23" t="s">
        <v>225</v>
      </c>
      <c r="S208" s="24" t="s">
        <v>225</v>
      </c>
    </row>
    <row r="209" spans="1:19" ht="15.75" hidden="1" customHeight="1" x14ac:dyDescent="0.2">
      <c r="A209" s="9"/>
      <c r="B209" s="10"/>
      <c r="C209" s="9"/>
      <c r="D209" s="9"/>
      <c r="E209" s="14" t="s">
        <v>888</v>
      </c>
      <c r="F209" s="15" t="s">
        <v>889</v>
      </c>
      <c r="G209" s="16" t="s">
        <v>890</v>
      </c>
      <c r="H209" s="9"/>
      <c r="I209" s="9" t="s">
        <v>891</v>
      </c>
      <c r="J209" s="9" t="s">
        <v>43</v>
      </c>
      <c r="K209" s="9" t="s">
        <v>226</v>
      </c>
      <c r="L209" s="9" t="s">
        <v>225</v>
      </c>
      <c r="M209" s="9" t="s">
        <v>225</v>
      </c>
      <c r="N209" s="9"/>
      <c r="O209" s="22" t="s">
        <v>891</v>
      </c>
      <c r="P209" s="23" t="s">
        <v>43</v>
      </c>
      <c r="Q209" s="23" t="s">
        <v>226</v>
      </c>
      <c r="R209" s="23" t="s">
        <v>225</v>
      </c>
      <c r="S209" s="24" t="s">
        <v>225</v>
      </c>
    </row>
    <row r="210" spans="1:19" ht="15.75" hidden="1" customHeight="1" x14ac:dyDescent="0.2">
      <c r="A210" s="9"/>
      <c r="B210" s="10"/>
      <c r="C210" s="9"/>
      <c r="D210" s="9"/>
      <c r="E210" s="14" t="s">
        <v>892</v>
      </c>
      <c r="F210" s="15" t="s">
        <v>893</v>
      </c>
      <c r="G210" s="16" t="s">
        <v>894</v>
      </c>
      <c r="H210" s="9"/>
      <c r="I210" s="9" t="s">
        <v>895</v>
      </c>
      <c r="J210" s="9" t="s">
        <v>43</v>
      </c>
      <c r="K210" s="9" t="s">
        <v>226</v>
      </c>
      <c r="L210" s="9" t="s">
        <v>225</v>
      </c>
      <c r="M210" s="9" t="s">
        <v>225</v>
      </c>
      <c r="N210" s="9"/>
      <c r="O210" s="22" t="s">
        <v>895</v>
      </c>
      <c r="P210" s="23" t="s">
        <v>43</v>
      </c>
      <c r="Q210" s="23" t="s">
        <v>226</v>
      </c>
      <c r="R210" s="23" t="s">
        <v>225</v>
      </c>
      <c r="S210" s="24" t="s">
        <v>225</v>
      </c>
    </row>
    <row r="211" spans="1:19" ht="15.75" hidden="1" customHeight="1" x14ac:dyDescent="0.2">
      <c r="A211" s="9"/>
      <c r="B211" s="10"/>
      <c r="C211" s="9"/>
      <c r="D211" s="9"/>
      <c r="E211" s="14" t="s">
        <v>896</v>
      </c>
      <c r="F211" s="15" t="s">
        <v>897</v>
      </c>
      <c r="G211" s="16" t="s">
        <v>349</v>
      </c>
      <c r="H211" s="9"/>
      <c r="I211" s="9" t="s">
        <v>898</v>
      </c>
      <c r="J211" s="9" t="s">
        <v>43</v>
      </c>
      <c r="K211" s="9" t="s">
        <v>226</v>
      </c>
      <c r="L211" s="9" t="s">
        <v>225</v>
      </c>
      <c r="M211" s="9" t="s">
        <v>225</v>
      </c>
      <c r="N211" s="9"/>
      <c r="O211" s="22" t="s">
        <v>898</v>
      </c>
      <c r="P211" s="23" t="s">
        <v>43</v>
      </c>
      <c r="Q211" s="23" t="s">
        <v>226</v>
      </c>
      <c r="R211" s="23" t="s">
        <v>225</v>
      </c>
      <c r="S211" s="24" t="s">
        <v>225</v>
      </c>
    </row>
    <row r="212" spans="1:19" ht="15.75" hidden="1" customHeight="1" x14ac:dyDescent="0.2">
      <c r="A212" s="9"/>
      <c r="B212" s="10"/>
      <c r="C212" s="9"/>
      <c r="D212" s="9"/>
      <c r="E212" s="14" t="s">
        <v>899</v>
      </c>
      <c r="F212" s="15" t="s">
        <v>900</v>
      </c>
      <c r="G212" s="16" t="s">
        <v>223</v>
      </c>
      <c r="H212" s="9"/>
      <c r="I212" s="9" t="s">
        <v>901</v>
      </c>
      <c r="J212" s="9" t="s">
        <v>43</v>
      </c>
      <c r="K212" s="9" t="s">
        <v>226</v>
      </c>
      <c r="L212" s="9" t="s">
        <v>225</v>
      </c>
      <c r="M212" s="9" t="s">
        <v>225</v>
      </c>
      <c r="N212" s="9"/>
      <c r="O212" s="22" t="s">
        <v>901</v>
      </c>
      <c r="P212" s="23" t="s">
        <v>43</v>
      </c>
      <c r="Q212" s="23" t="s">
        <v>226</v>
      </c>
      <c r="R212" s="23" t="s">
        <v>225</v>
      </c>
      <c r="S212" s="24" t="s">
        <v>225</v>
      </c>
    </row>
    <row r="213" spans="1:19" ht="15.75" hidden="1" customHeight="1" x14ac:dyDescent="0.2">
      <c r="A213" s="9"/>
      <c r="B213" s="10"/>
      <c r="C213" s="9"/>
      <c r="D213" s="9"/>
      <c r="E213" s="14" t="s">
        <v>902</v>
      </c>
      <c r="F213" s="15" t="s">
        <v>903</v>
      </c>
      <c r="G213" s="16" t="s">
        <v>223</v>
      </c>
      <c r="H213" s="9"/>
      <c r="I213" s="9" t="s">
        <v>904</v>
      </c>
      <c r="J213" s="9" t="s">
        <v>43</v>
      </c>
      <c r="K213" s="9" t="s">
        <v>225</v>
      </c>
      <c r="L213" s="9" t="s">
        <v>225</v>
      </c>
      <c r="M213" s="9" t="s">
        <v>226</v>
      </c>
      <c r="N213" s="9"/>
      <c r="O213" s="22" t="s">
        <v>904</v>
      </c>
      <c r="P213" s="23" t="s">
        <v>43</v>
      </c>
      <c r="Q213" s="23" t="s">
        <v>225</v>
      </c>
      <c r="R213" s="23" t="s">
        <v>225</v>
      </c>
      <c r="S213" s="24" t="s">
        <v>226</v>
      </c>
    </row>
    <row r="214" spans="1:19" ht="15.75" hidden="1" customHeight="1" x14ac:dyDescent="0.2">
      <c r="A214" s="9"/>
      <c r="B214" s="10"/>
      <c r="C214" s="9"/>
      <c r="D214" s="9"/>
      <c r="E214" s="14" t="s">
        <v>114</v>
      </c>
      <c r="F214" s="15" t="s">
        <v>905</v>
      </c>
      <c r="G214" s="16" t="s">
        <v>223</v>
      </c>
      <c r="H214" s="9"/>
      <c r="I214" s="9" t="s">
        <v>906</v>
      </c>
      <c r="J214" s="9" t="s">
        <v>43</v>
      </c>
      <c r="K214" s="9" t="s">
        <v>225</v>
      </c>
      <c r="L214" s="9" t="s">
        <v>225</v>
      </c>
      <c r="M214" s="9" t="s">
        <v>226</v>
      </c>
      <c r="N214" s="9"/>
      <c r="O214" s="22" t="s">
        <v>906</v>
      </c>
      <c r="P214" s="23" t="s">
        <v>43</v>
      </c>
      <c r="Q214" s="23" t="s">
        <v>225</v>
      </c>
      <c r="R214" s="23" t="s">
        <v>225</v>
      </c>
      <c r="S214" s="24" t="s">
        <v>226</v>
      </c>
    </row>
    <row r="215" spans="1:19" ht="15.75" hidden="1" customHeight="1" x14ac:dyDescent="0.2">
      <c r="A215" s="9"/>
      <c r="B215" s="10"/>
      <c r="C215" s="9"/>
      <c r="D215" s="9"/>
      <c r="E215" s="14" t="s">
        <v>907</v>
      </c>
      <c r="F215" s="15" t="s">
        <v>908</v>
      </c>
      <c r="G215" s="16" t="s">
        <v>909</v>
      </c>
      <c r="H215" s="9"/>
      <c r="I215" s="9" t="s">
        <v>910</v>
      </c>
      <c r="J215" s="9" t="s">
        <v>43</v>
      </c>
      <c r="K215" s="9" t="s">
        <v>226</v>
      </c>
      <c r="L215" s="9" t="s">
        <v>225</v>
      </c>
      <c r="M215" s="9" t="s">
        <v>226</v>
      </c>
      <c r="N215" s="9"/>
      <c r="O215" s="22" t="s">
        <v>910</v>
      </c>
      <c r="P215" s="23" t="s">
        <v>43</v>
      </c>
      <c r="Q215" s="23" t="s">
        <v>226</v>
      </c>
      <c r="R215" s="23" t="s">
        <v>225</v>
      </c>
      <c r="S215" s="24" t="s">
        <v>226</v>
      </c>
    </row>
    <row r="216" spans="1:19" ht="15.75" hidden="1" customHeight="1" x14ac:dyDescent="0.2">
      <c r="A216" s="9"/>
      <c r="B216" s="10"/>
      <c r="C216" s="9"/>
      <c r="D216" s="9"/>
      <c r="E216" s="14" t="s">
        <v>911</v>
      </c>
      <c r="F216" s="15" t="s">
        <v>912</v>
      </c>
      <c r="G216" s="16" t="s">
        <v>909</v>
      </c>
      <c r="H216" s="9"/>
      <c r="I216" s="9" t="s">
        <v>913</v>
      </c>
      <c r="J216" s="9" t="s">
        <v>43</v>
      </c>
      <c r="K216" s="9" t="s">
        <v>226</v>
      </c>
      <c r="L216" s="9" t="s">
        <v>225</v>
      </c>
      <c r="M216" s="9" t="s">
        <v>226</v>
      </c>
      <c r="N216" s="9"/>
      <c r="O216" s="22" t="s">
        <v>913</v>
      </c>
      <c r="P216" s="23" t="s">
        <v>43</v>
      </c>
      <c r="Q216" s="23" t="s">
        <v>226</v>
      </c>
      <c r="R216" s="23" t="s">
        <v>225</v>
      </c>
      <c r="S216" s="24" t="s">
        <v>226</v>
      </c>
    </row>
    <row r="217" spans="1:19" ht="15.75" hidden="1" customHeight="1" x14ac:dyDescent="0.2">
      <c r="A217" s="9"/>
      <c r="B217" s="10"/>
      <c r="C217" s="9"/>
      <c r="D217" s="9"/>
      <c r="E217" s="14" t="s">
        <v>914</v>
      </c>
      <c r="F217" s="15" t="s">
        <v>915</v>
      </c>
      <c r="G217" s="16" t="s">
        <v>916</v>
      </c>
      <c r="H217" s="9"/>
      <c r="I217" s="9" t="s">
        <v>917</v>
      </c>
      <c r="J217" s="9" t="s">
        <v>43</v>
      </c>
      <c r="K217" s="9" t="s">
        <v>225</v>
      </c>
      <c r="L217" s="9" t="s">
        <v>225</v>
      </c>
      <c r="M217" s="9" t="s">
        <v>225</v>
      </c>
      <c r="N217" s="9"/>
      <c r="O217" s="22" t="s">
        <v>917</v>
      </c>
      <c r="P217" s="23" t="s">
        <v>43</v>
      </c>
      <c r="Q217" s="23" t="s">
        <v>225</v>
      </c>
      <c r="R217" s="23" t="s">
        <v>225</v>
      </c>
      <c r="S217" s="24" t="s">
        <v>225</v>
      </c>
    </row>
    <row r="218" spans="1:19" ht="15.75" hidden="1" customHeight="1" x14ac:dyDescent="0.2">
      <c r="A218" s="9"/>
      <c r="B218" s="10"/>
      <c r="C218" s="9"/>
      <c r="D218" s="9"/>
      <c r="E218" s="14" t="s">
        <v>918</v>
      </c>
      <c r="F218" s="15" t="s">
        <v>919</v>
      </c>
      <c r="G218" s="16" t="s">
        <v>920</v>
      </c>
      <c r="H218" s="9"/>
      <c r="I218" s="9" t="s">
        <v>921</v>
      </c>
      <c r="J218" s="9" t="s">
        <v>43</v>
      </c>
      <c r="K218" s="9" t="s">
        <v>226</v>
      </c>
      <c r="L218" s="9" t="s">
        <v>225</v>
      </c>
      <c r="M218" s="9" t="s">
        <v>225</v>
      </c>
      <c r="N218" s="9"/>
      <c r="O218" s="22" t="s">
        <v>921</v>
      </c>
      <c r="P218" s="23" t="s">
        <v>43</v>
      </c>
      <c r="Q218" s="23" t="s">
        <v>226</v>
      </c>
      <c r="R218" s="23" t="s">
        <v>225</v>
      </c>
      <c r="S218" s="24" t="s">
        <v>225</v>
      </c>
    </row>
    <row r="219" spans="1:19" ht="15.75" hidden="1" customHeight="1" x14ac:dyDescent="0.2">
      <c r="A219" s="9"/>
      <c r="B219" s="10"/>
      <c r="C219" s="9"/>
      <c r="D219" s="9"/>
      <c r="E219" s="14" t="s">
        <v>922</v>
      </c>
      <c r="F219" s="15" t="s">
        <v>923</v>
      </c>
      <c r="G219" s="16" t="s">
        <v>293</v>
      </c>
      <c r="H219" s="9"/>
      <c r="I219" s="9" t="s">
        <v>924</v>
      </c>
      <c r="J219" s="9" t="s">
        <v>43</v>
      </c>
      <c r="K219" s="9" t="s">
        <v>226</v>
      </c>
      <c r="L219" s="9" t="s">
        <v>225</v>
      </c>
      <c r="M219" s="9" t="s">
        <v>225</v>
      </c>
      <c r="N219" s="9"/>
      <c r="O219" s="22" t="s">
        <v>924</v>
      </c>
      <c r="P219" s="23" t="s">
        <v>43</v>
      </c>
      <c r="Q219" s="23" t="s">
        <v>226</v>
      </c>
      <c r="R219" s="23" t="s">
        <v>225</v>
      </c>
      <c r="S219" s="24" t="s">
        <v>225</v>
      </c>
    </row>
    <row r="220" spans="1:19" ht="15.75" hidden="1" customHeight="1" x14ac:dyDescent="0.2">
      <c r="A220" s="9"/>
      <c r="B220" s="10"/>
      <c r="C220" s="9"/>
      <c r="D220" s="9"/>
      <c r="E220" s="14" t="s">
        <v>925</v>
      </c>
      <c r="F220" s="15" t="s">
        <v>926</v>
      </c>
      <c r="G220" s="16" t="s">
        <v>375</v>
      </c>
      <c r="H220" s="9"/>
      <c r="I220" s="9" t="s">
        <v>927</v>
      </c>
      <c r="J220" s="9" t="s">
        <v>43</v>
      </c>
      <c r="K220" s="9" t="s">
        <v>226</v>
      </c>
      <c r="L220" s="9" t="s">
        <v>225</v>
      </c>
      <c r="M220" s="9" t="s">
        <v>225</v>
      </c>
      <c r="N220" s="9"/>
      <c r="O220" s="22" t="s">
        <v>927</v>
      </c>
      <c r="P220" s="23" t="s">
        <v>43</v>
      </c>
      <c r="Q220" s="23" t="s">
        <v>226</v>
      </c>
      <c r="R220" s="23" t="s">
        <v>225</v>
      </c>
      <c r="S220" s="24" t="s">
        <v>225</v>
      </c>
    </row>
    <row r="221" spans="1:19" ht="15.75" hidden="1" customHeight="1" x14ac:dyDescent="0.2">
      <c r="A221" s="9"/>
      <c r="B221" s="10"/>
      <c r="C221" s="9"/>
      <c r="D221" s="9"/>
      <c r="E221" s="14" t="s">
        <v>928</v>
      </c>
      <c r="F221" s="15" t="s">
        <v>929</v>
      </c>
      <c r="G221" s="16" t="s">
        <v>463</v>
      </c>
      <c r="H221" s="9"/>
      <c r="I221" s="9" t="s">
        <v>930</v>
      </c>
      <c r="J221" s="9" t="s">
        <v>43</v>
      </c>
      <c r="K221" s="9" t="s">
        <v>225</v>
      </c>
      <c r="L221" s="9" t="s">
        <v>225</v>
      </c>
      <c r="M221" s="9" t="s">
        <v>225</v>
      </c>
      <c r="N221" s="9"/>
      <c r="O221" s="22" t="s">
        <v>930</v>
      </c>
      <c r="P221" s="23" t="s">
        <v>43</v>
      </c>
      <c r="Q221" s="23" t="s">
        <v>225</v>
      </c>
      <c r="R221" s="23" t="s">
        <v>225</v>
      </c>
      <c r="S221" s="24" t="s">
        <v>225</v>
      </c>
    </row>
    <row r="222" spans="1:19" ht="15.75" hidden="1" customHeight="1" x14ac:dyDescent="0.2">
      <c r="A222" s="9"/>
      <c r="B222" s="10"/>
      <c r="C222" s="9"/>
      <c r="D222" s="9"/>
      <c r="E222" s="14" t="s">
        <v>931</v>
      </c>
      <c r="F222" s="15" t="s">
        <v>932</v>
      </c>
      <c r="G222" s="16" t="s">
        <v>439</v>
      </c>
      <c r="H222" s="9"/>
      <c r="I222" s="9" t="s">
        <v>933</v>
      </c>
      <c r="J222" s="9" t="s">
        <v>43</v>
      </c>
      <c r="K222" s="9" t="s">
        <v>225</v>
      </c>
      <c r="L222" s="9" t="s">
        <v>225</v>
      </c>
      <c r="M222" s="9" t="s">
        <v>225</v>
      </c>
      <c r="N222" s="9"/>
      <c r="O222" s="22" t="s">
        <v>933</v>
      </c>
      <c r="P222" s="23" t="s">
        <v>43</v>
      </c>
      <c r="Q222" s="23" t="s">
        <v>225</v>
      </c>
      <c r="R222" s="23" t="s">
        <v>225</v>
      </c>
      <c r="S222" s="24" t="s">
        <v>225</v>
      </c>
    </row>
    <row r="223" spans="1:19" ht="15.75" hidden="1" customHeight="1" x14ac:dyDescent="0.2">
      <c r="A223" s="9"/>
      <c r="B223" s="10"/>
      <c r="C223" s="9"/>
      <c r="D223" s="9"/>
      <c r="E223" s="14" t="s">
        <v>934</v>
      </c>
      <c r="F223" s="15" t="s">
        <v>935</v>
      </c>
      <c r="G223" s="16" t="s">
        <v>936</v>
      </c>
      <c r="H223" s="9"/>
      <c r="I223" s="9" t="s">
        <v>937</v>
      </c>
      <c r="J223" s="9" t="s">
        <v>43</v>
      </c>
      <c r="K223" s="9" t="s">
        <v>225</v>
      </c>
      <c r="L223" s="9" t="s">
        <v>225</v>
      </c>
      <c r="M223" s="9" t="s">
        <v>225</v>
      </c>
      <c r="N223" s="9"/>
      <c r="O223" s="22" t="s">
        <v>937</v>
      </c>
      <c r="P223" s="23" t="s">
        <v>43</v>
      </c>
      <c r="Q223" s="23" t="s">
        <v>225</v>
      </c>
      <c r="R223" s="23" t="s">
        <v>225</v>
      </c>
      <c r="S223" s="24" t="s">
        <v>225</v>
      </c>
    </row>
    <row r="224" spans="1:19" ht="15.75" hidden="1" customHeight="1" x14ac:dyDescent="0.2">
      <c r="A224" s="9"/>
      <c r="B224" s="10"/>
      <c r="C224" s="9"/>
      <c r="D224" s="9"/>
      <c r="E224" s="14" t="s">
        <v>938</v>
      </c>
      <c r="F224" s="15" t="s">
        <v>939</v>
      </c>
      <c r="G224" s="16" t="s">
        <v>940</v>
      </c>
      <c r="H224" s="9"/>
      <c r="I224" s="9" t="s">
        <v>941</v>
      </c>
      <c r="J224" s="9" t="s">
        <v>43</v>
      </c>
      <c r="K224" s="9" t="s">
        <v>225</v>
      </c>
      <c r="L224" s="9" t="s">
        <v>225</v>
      </c>
      <c r="M224" s="9" t="s">
        <v>225</v>
      </c>
      <c r="N224" s="9"/>
      <c r="O224" s="22" t="s">
        <v>941</v>
      </c>
      <c r="P224" s="23" t="s">
        <v>43</v>
      </c>
      <c r="Q224" s="23" t="s">
        <v>225</v>
      </c>
      <c r="R224" s="23" t="s">
        <v>225</v>
      </c>
      <c r="S224" s="24" t="s">
        <v>225</v>
      </c>
    </row>
    <row r="225" spans="1:19" ht="15.75" hidden="1" customHeight="1" x14ac:dyDescent="0.2">
      <c r="A225" s="9"/>
      <c r="B225" s="10"/>
      <c r="C225" s="9"/>
      <c r="D225" s="9"/>
      <c r="E225" s="14" t="s">
        <v>942</v>
      </c>
      <c r="F225" s="15" t="s">
        <v>943</v>
      </c>
      <c r="G225" s="16" t="s">
        <v>944</v>
      </c>
      <c r="H225" s="9"/>
      <c r="I225" s="9" t="s">
        <v>945</v>
      </c>
      <c r="J225" s="9" t="s">
        <v>43</v>
      </c>
      <c r="K225" s="9" t="s">
        <v>226</v>
      </c>
      <c r="L225" s="9" t="s">
        <v>225</v>
      </c>
      <c r="M225" s="9" t="s">
        <v>225</v>
      </c>
      <c r="N225" s="9"/>
      <c r="O225" s="22" t="s">
        <v>945</v>
      </c>
      <c r="P225" s="23" t="s">
        <v>43</v>
      </c>
      <c r="Q225" s="23" t="s">
        <v>226</v>
      </c>
      <c r="R225" s="23" t="s">
        <v>225</v>
      </c>
      <c r="S225" s="24" t="s">
        <v>225</v>
      </c>
    </row>
    <row r="226" spans="1:19" ht="15.75" hidden="1" customHeight="1" x14ac:dyDescent="0.2">
      <c r="A226" s="9"/>
      <c r="B226" s="10"/>
      <c r="C226" s="9"/>
      <c r="D226" s="9"/>
      <c r="E226" s="14" t="s">
        <v>946</v>
      </c>
      <c r="F226" s="15" t="s">
        <v>230</v>
      </c>
      <c r="G226" s="16" t="s">
        <v>223</v>
      </c>
      <c r="H226" s="9"/>
      <c r="I226" s="9" t="s">
        <v>947</v>
      </c>
      <c r="J226" s="9" t="s">
        <v>43</v>
      </c>
      <c r="K226" s="9" t="s">
        <v>225</v>
      </c>
      <c r="L226" s="9" t="s">
        <v>225</v>
      </c>
      <c r="M226" s="9" t="s">
        <v>225</v>
      </c>
      <c r="N226" s="9"/>
      <c r="O226" s="22" t="s">
        <v>947</v>
      </c>
      <c r="P226" s="23" t="s">
        <v>43</v>
      </c>
      <c r="Q226" s="23" t="s">
        <v>225</v>
      </c>
      <c r="R226" s="23" t="s">
        <v>225</v>
      </c>
      <c r="S226" s="24" t="s">
        <v>225</v>
      </c>
    </row>
    <row r="227" spans="1:19" ht="15.75" hidden="1" customHeight="1" x14ac:dyDescent="0.2">
      <c r="A227" s="9"/>
      <c r="B227" s="10"/>
      <c r="C227" s="9"/>
      <c r="D227" s="9"/>
      <c r="E227" s="14" t="s">
        <v>948</v>
      </c>
      <c r="F227" s="15" t="s">
        <v>319</v>
      </c>
      <c r="G227" s="16" t="s">
        <v>223</v>
      </c>
      <c r="H227" s="9"/>
      <c r="I227" s="9" t="s">
        <v>949</v>
      </c>
      <c r="J227" s="9" t="s">
        <v>43</v>
      </c>
      <c r="K227" s="9" t="s">
        <v>226</v>
      </c>
      <c r="L227" s="9" t="s">
        <v>225</v>
      </c>
      <c r="M227" s="9" t="s">
        <v>225</v>
      </c>
      <c r="N227" s="9"/>
      <c r="O227" s="22" t="s">
        <v>949</v>
      </c>
      <c r="P227" s="23" t="s">
        <v>43</v>
      </c>
      <c r="Q227" s="23" t="s">
        <v>226</v>
      </c>
      <c r="R227" s="23" t="s">
        <v>225</v>
      </c>
      <c r="S227" s="24" t="s">
        <v>225</v>
      </c>
    </row>
    <row r="228" spans="1:19" ht="15.75" hidden="1" customHeight="1" x14ac:dyDescent="0.2">
      <c r="A228" s="9"/>
      <c r="B228" s="10"/>
      <c r="C228" s="9"/>
      <c r="D228" s="9"/>
      <c r="E228" s="14" t="s">
        <v>950</v>
      </c>
      <c r="F228" s="15" t="s">
        <v>315</v>
      </c>
      <c r="G228" s="16" t="s">
        <v>316</v>
      </c>
      <c r="H228" s="9"/>
      <c r="I228" s="9" t="s">
        <v>951</v>
      </c>
      <c r="J228" s="9" t="s">
        <v>43</v>
      </c>
      <c r="K228" s="9" t="s">
        <v>225</v>
      </c>
      <c r="L228" s="9" t="s">
        <v>225</v>
      </c>
      <c r="M228" s="9" t="s">
        <v>225</v>
      </c>
      <c r="N228" s="9"/>
      <c r="O228" s="22" t="s">
        <v>951</v>
      </c>
      <c r="P228" s="23" t="s">
        <v>43</v>
      </c>
      <c r="Q228" s="23" t="s">
        <v>225</v>
      </c>
      <c r="R228" s="23" t="s">
        <v>225</v>
      </c>
      <c r="S228" s="24" t="s">
        <v>225</v>
      </c>
    </row>
    <row r="229" spans="1:19" ht="15.75" hidden="1" customHeight="1" x14ac:dyDescent="0.2">
      <c r="A229" s="9"/>
      <c r="B229" s="10"/>
      <c r="C229" s="9"/>
      <c r="D229" s="9"/>
      <c r="E229" s="14" t="s">
        <v>952</v>
      </c>
      <c r="F229" s="15" t="s">
        <v>501</v>
      </c>
      <c r="G229" s="16" t="s">
        <v>375</v>
      </c>
      <c r="H229" s="9"/>
      <c r="I229" s="9" t="s">
        <v>953</v>
      </c>
      <c r="J229" s="9" t="s">
        <v>43</v>
      </c>
      <c r="K229" s="9" t="s">
        <v>226</v>
      </c>
      <c r="L229" s="9" t="s">
        <v>225</v>
      </c>
      <c r="M229" s="9" t="s">
        <v>225</v>
      </c>
      <c r="N229" s="9"/>
      <c r="O229" s="22" t="s">
        <v>953</v>
      </c>
      <c r="P229" s="23" t="s">
        <v>43</v>
      </c>
      <c r="Q229" s="23" t="s">
        <v>226</v>
      </c>
      <c r="R229" s="23" t="s">
        <v>225</v>
      </c>
      <c r="S229" s="24" t="s">
        <v>225</v>
      </c>
    </row>
    <row r="230" spans="1:19" ht="15.75" hidden="1" customHeight="1" x14ac:dyDescent="0.2">
      <c r="A230" s="9"/>
      <c r="B230" s="10"/>
      <c r="C230" s="9"/>
      <c r="D230" s="9"/>
      <c r="E230" s="14" t="s">
        <v>954</v>
      </c>
      <c r="F230" s="15" t="s">
        <v>955</v>
      </c>
      <c r="G230" s="16" t="s">
        <v>956</v>
      </c>
      <c r="H230" s="9"/>
      <c r="I230" s="9" t="s">
        <v>957</v>
      </c>
      <c r="J230" s="9" t="s">
        <v>43</v>
      </c>
      <c r="K230" s="9" t="s">
        <v>225</v>
      </c>
      <c r="L230" s="9" t="s">
        <v>225</v>
      </c>
      <c r="M230" s="9" t="s">
        <v>225</v>
      </c>
      <c r="N230" s="9"/>
      <c r="O230" s="22" t="s">
        <v>957</v>
      </c>
      <c r="P230" s="23" t="s">
        <v>43</v>
      </c>
      <c r="Q230" s="23" t="s">
        <v>225</v>
      </c>
      <c r="R230" s="23" t="s">
        <v>225</v>
      </c>
      <c r="S230" s="24" t="s">
        <v>225</v>
      </c>
    </row>
    <row r="231" spans="1:19" ht="15.75" hidden="1" customHeight="1" x14ac:dyDescent="0.2">
      <c r="A231" s="9"/>
      <c r="B231" s="10"/>
      <c r="C231" s="9"/>
      <c r="D231" s="9"/>
      <c r="E231" s="14" t="s">
        <v>958</v>
      </c>
      <c r="F231" s="15" t="s">
        <v>959</v>
      </c>
      <c r="G231" s="16" t="s">
        <v>223</v>
      </c>
      <c r="H231" s="9"/>
      <c r="I231" s="9" t="s">
        <v>960</v>
      </c>
      <c r="J231" s="9" t="s">
        <v>43</v>
      </c>
      <c r="K231" s="9" t="s">
        <v>226</v>
      </c>
      <c r="L231" s="9" t="s">
        <v>225</v>
      </c>
      <c r="M231" s="9" t="s">
        <v>225</v>
      </c>
      <c r="N231" s="9"/>
      <c r="O231" s="22" t="s">
        <v>960</v>
      </c>
      <c r="P231" s="23" t="s">
        <v>43</v>
      </c>
      <c r="Q231" s="23" t="s">
        <v>226</v>
      </c>
      <c r="R231" s="23" t="s">
        <v>225</v>
      </c>
      <c r="S231" s="24" t="s">
        <v>225</v>
      </c>
    </row>
    <row r="232" spans="1:19" ht="15.75" hidden="1" customHeight="1" x14ac:dyDescent="0.2">
      <c r="A232" s="9"/>
      <c r="B232" s="10"/>
      <c r="C232" s="9"/>
      <c r="D232" s="9"/>
      <c r="E232" s="33" t="s">
        <v>961</v>
      </c>
      <c r="F232" s="34" t="s">
        <v>339</v>
      </c>
      <c r="G232" s="35" t="s">
        <v>223</v>
      </c>
      <c r="H232" s="9"/>
      <c r="I232" s="9" t="s">
        <v>962</v>
      </c>
      <c r="J232" s="9" t="s">
        <v>43</v>
      </c>
      <c r="K232" s="9" t="s">
        <v>225</v>
      </c>
      <c r="L232" s="9" t="s">
        <v>225</v>
      </c>
      <c r="M232" s="9" t="s">
        <v>225</v>
      </c>
      <c r="N232" s="9"/>
      <c r="O232" s="22" t="s">
        <v>962</v>
      </c>
      <c r="P232" s="23" t="s">
        <v>43</v>
      </c>
      <c r="Q232" s="23" t="s">
        <v>225</v>
      </c>
      <c r="R232" s="23" t="s">
        <v>225</v>
      </c>
      <c r="S232" s="24" t="s">
        <v>225</v>
      </c>
    </row>
    <row r="233" spans="1:19" ht="15.75" hidden="1" customHeight="1" x14ac:dyDescent="0.2">
      <c r="A233" s="9"/>
      <c r="B233" s="10"/>
      <c r="C233" s="9"/>
      <c r="D233" s="9"/>
      <c r="E233" s="33" t="s">
        <v>69</v>
      </c>
      <c r="F233" s="34" t="s">
        <v>230</v>
      </c>
      <c r="G233" s="35" t="s">
        <v>223</v>
      </c>
      <c r="H233" s="9"/>
      <c r="I233" s="9" t="s">
        <v>963</v>
      </c>
      <c r="J233" s="9" t="s">
        <v>43</v>
      </c>
      <c r="K233" s="9" t="s">
        <v>225</v>
      </c>
      <c r="L233" s="9" t="s">
        <v>225</v>
      </c>
      <c r="M233" s="9" t="s">
        <v>225</v>
      </c>
      <c r="N233" s="9"/>
      <c r="O233" s="22" t="s">
        <v>963</v>
      </c>
      <c r="P233" s="23" t="s">
        <v>43</v>
      </c>
      <c r="Q233" s="23" t="s">
        <v>225</v>
      </c>
      <c r="R233" s="23" t="s">
        <v>225</v>
      </c>
      <c r="S233" s="24" t="s">
        <v>225</v>
      </c>
    </row>
    <row r="234" spans="1:19" ht="15.75" hidden="1" customHeight="1" x14ac:dyDescent="0.2">
      <c r="A234" s="9"/>
      <c r="B234" s="10"/>
      <c r="C234" s="9"/>
      <c r="D234" s="9"/>
      <c r="E234" s="33" t="s">
        <v>964</v>
      </c>
      <c r="F234" s="34" t="s">
        <v>965</v>
      </c>
      <c r="G234" s="35" t="s">
        <v>966</v>
      </c>
      <c r="H234" s="9"/>
      <c r="I234" s="9" t="s">
        <v>967</v>
      </c>
      <c r="J234" s="9" t="s">
        <v>43</v>
      </c>
      <c r="K234" s="9" t="s">
        <v>226</v>
      </c>
      <c r="L234" s="9" t="s">
        <v>225</v>
      </c>
      <c r="M234" s="9" t="s">
        <v>225</v>
      </c>
      <c r="N234" s="9"/>
      <c r="O234" s="22" t="s">
        <v>967</v>
      </c>
      <c r="P234" s="23" t="s">
        <v>43</v>
      </c>
      <c r="Q234" s="23" t="s">
        <v>226</v>
      </c>
      <c r="R234" s="23" t="s">
        <v>225</v>
      </c>
      <c r="S234" s="24" t="s">
        <v>225</v>
      </c>
    </row>
    <row r="235" spans="1:19" ht="15.75" hidden="1" customHeight="1" x14ac:dyDescent="0.2">
      <c r="A235" s="9"/>
      <c r="B235" s="10"/>
      <c r="C235" s="9"/>
      <c r="D235" s="9"/>
      <c r="E235" s="33" t="s">
        <v>968</v>
      </c>
      <c r="F235" s="34" t="s">
        <v>969</v>
      </c>
      <c r="G235" s="35" t="s">
        <v>375</v>
      </c>
      <c r="H235" s="9"/>
      <c r="I235" s="9" t="s">
        <v>970</v>
      </c>
      <c r="J235" s="9" t="s">
        <v>43</v>
      </c>
      <c r="K235" s="9" t="s">
        <v>226</v>
      </c>
      <c r="L235" s="9" t="s">
        <v>225</v>
      </c>
      <c r="M235" s="9" t="s">
        <v>225</v>
      </c>
      <c r="N235" s="9"/>
      <c r="O235" s="22" t="s">
        <v>970</v>
      </c>
      <c r="P235" s="23" t="s">
        <v>43</v>
      </c>
      <c r="Q235" s="23" t="s">
        <v>226</v>
      </c>
      <c r="R235" s="23" t="s">
        <v>225</v>
      </c>
      <c r="S235" s="24" t="s">
        <v>225</v>
      </c>
    </row>
    <row r="236" spans="1:19" ht="15.75" hidden="1" customHeight="1" x14ac:dyDescent="0.2">
      <c r="A236" s="9"/>
      <c r="B236" s="10"/>
      <c r="C236" s="9"/>
      <c r="D236" s="9"/>
      <c r="E236" s="33" t="s">
        <v>971</v>
      </c>
      <c r="F236" s="34" t="s">
        <v>972</v>
      </c>
      <c r="G236" s="35" t="s">
        <v>878</v>
      </c>
      <c r="H236" s="9"/>
      <c r="I236" s="9" t="s">
        <v>973</v>
      </c>
      <c r="J236" s="9" t="s">
        <v>43</v>
      </c>
      <c r="K236" s="9" t="s">
        <v>226</v>
      </c>
      <c r="L236" s="9" t="s">
        <v>225</v>
      </c>
      <c r="M236" s="9" t="s">
        <v>225</v>
      </c>
      <c r="N236" s="9"/>
      <c r="O236" s="22" t="s">
        <v>973</v>
      </c>
      <c r="P236" s="23" t="s">
        <v>43</v>
      </c>
      <c r="Q236" s="23" t="s">
        <v>226</v>
      </c>
      <c r="R236" s="23" t="s">
        <v>225</v>
      </c>
      <c r="S236" s="24" t="s">
        <v>225</v>
      </c>
    </row>
    <row r="237" spans="1:19" ht="15.75" hidden="1" customHeight="1" x14ac:dyDescent="0.2">
      <c r="A237" s="9"/>
      <c r="B237" s="10"/>
      <c r="C237" s="9"/>
      <c r="D237" s="9"/>
      <c r="E237" s="33" t="s">
        <v>90</v>
      </c>
      <c r="F237" s="34" t="s">
        <v>974</v>
      </c>
      <c r="G237" s="35" t="s">
        <v>975</v>
      </c>
      <c r="H237" s="9"/>
      <c r="I237" s="9" t="s">
        <v>976</v>
      </c>
      <c r="J237" s="9" t="s">
        <v>43</v>
      </c>
      <c r="K237" s="9" t="s">
        <v>226</v>
      </c>
      <c r="L237" s="9" t="s">
        <v>225</v>
      </c>
      <c r="M237" s="9" t="s">
        <v>225</v>
      </c>
      <c r="N237" s="9"/>
      <c r="O237" s="22" t="s">
        <v>976</v>
      </c>
      <c r="P237" s="23" t="s">
        <v>43</v>
      </c>
      <c r="Q237" s="23" t="s">
        <v>226</v>
      </c>
      <c r="R237" s="23" t="s">
        <v>225</v>
      </c>
      <c r="S237" s="24" t="s">
        <v>225</v>
      </c>
    </row>
    <row r="238" spans="1:19" ht="15.75" hidden="1" customHeight="1" x14ac:dyDescent="0.2">
      <c r="A238" s="9"/>
      <c r="B238" s="10"/>
      <c r="C238" s="9"/>
      <c r="D238" s="9"/>
      <c r="E238" s="33" t="s">
        <v>75</v>
      </c>
      <c r="F238" s="34" t="s">
        <v>977</v>
      </c>
      <c r="G238" s="35" t="s">
        <v>293</v>
      </c>
      <c r="H238" s="9"/>
      <c r="I238" s="9" t="s">
        <v>978</v>
      </c>
      <c r="J238" s="9" t="s">
        <v>43</v>
      </c>
      <c r="K238" s="9" t="s">
        <v>225</v>
      </c>
      <c r="L238" s="9" t="s">
        <v>225</v>
      </c>
      <c r="M238" s="9" t="s">
        <v>225</v>
      </c>
      <c r="N238" s="9"/>
      <c r="O238" s="22" t="s">
        <v>978</v>
      </c>
      <c r="P238" s="23" t="s">
        <v>43</v>
      </c>
      <c r="Q238" s="23" t="s">
        <v>225</v>
      </c>
      <c r="R238" s="23" t="s">
        <v>225</v>
      </c>
      <c r="S238" s="24" t="s">
        <v>225</v>
      </c>
    </row>
    <row r="239" spans="1:19" ht="15.75" hidden="1" customHeight="1" x14ac:dyDescent="0.2">
      <c r="A239" s="9"/>
      <c r="B239" s="10"/>
      <c r="C239" s="9"/>
      <c r="D239" s="9"/>
      <c r="E239" s="33" t="s">
        <v>979</v>
      </c>
      <c r="F239" s="34" t="s">
        <v>980</v>
      </c>
      <c r="G239" s="35" t="s">
        <v>223</v>
      </c>
      <c r="H239" s="9"/>
      <c r="I239" s="9" t="s">
        <v>981</v>
      </c>
      <c r="J239" s="9" t="s">
        <v>43</v>
      </c>
      <c r="K239" s="9" t="s">
        <v>225</v>
      </c>
      <c r="L239" s="9" t="s">
        <v>225</v>
      </c>
      <c r="M239" s="9" t="s">
        <v>225</v>
      </c>
      <c r="N239" s="9"/>
      <c r="O239" s="22" t="s">
        <v>981</v>
      </c>
      <c r="P239" s="23" t="s">
        <v>43</v>
      </c>
      <c r="Q239" s="23" t="s">
        <v>225</v>
      </c>
      <c r="R239" s="23" t="s">
        <v>225</v>
      </c>
      <c r="S239" s="24" t="s">
        <v>225</v>
      </c>
    </row>
    <row r="240" spans="1:19" ht="15.75" hidden="1" customHeight="1" x14ac:dyDescent="0.2">
      <c r="A240" s="9"/>
      <c r="B240" s="10"/>
      <c r="C240" s="9"/>
      <c r="D240" s="9"/>
      <c r="E240" s="33" t="s">
        <v>982</v>
      </c>
      <c r="F240" s="34" t="s">
        <v>983</v>
      </c>
      <c r="G240" s="35" t="s">
        <v>984</v>
      </c>
      <c r="H240" s="9"/>
      <c r="I240" s="9" t="s">
        <v>985</v>
      </c>
      <c r="J240" s="9" t="s">
        <v>43</v>
      </c>
      <c r="K240" s="9" t="s">
        <v>226</v>
      </c>
      <c r="L240" s="9" t="s">
        <v>225</v>
      </c>
      <c r="M240" s="9" t="s">
        <v>225</v>
      </c>
      <c r="N240" s="9"/>
      <c r="O240" s="22" t="s">
        <v>985</v>
      </c>
      <c r="P240" s="23" t="s">
        <v>43</v>
      </c>
      <c r="Q240" s="23" t="s">
        <v>226</v>
      </c>
      <c r="R240" s="23" t="s">
        <v>225</v>
      </c>
      <c r="S240" s="24" t="s">
        <v>225</v>
      </c>
    </row>
    <row r="241" spans="1:19" ht="15.75" hidden="1" customHeight="1" x14ac:dyDescent="0.2">
      <c r="A241" s="9"/>
      <c r="B241" s="10"/>
      <c r="C241" s="9"/>
      <c r="D241" s="9"/>
      <c r="E241" s="33" t="s">
        <v>986</v>
      </c>
      <c r="F241" s="34" t="s">
        <v>987</v>
      </c>
      <c r="G241" s="35" t="s">
        <v>353</v>
      </c>
      <c r="H241" s="9"/>
      <c r="I241" s="9" t="s">
        <v>988</v>
      </c>
      <c r="J241" s="9" t="s">
        <v>43</v>
      </c>
      <c r="K241" s="9" t="s">
        <v>225</v>
      </c>
      <c r="L241" s="9" t="s">
        <v>225</v>
      </c>
      <c r="M241" s="9" t="s">
        <v>225</v>
      </c>
      <c r="N241" s="9"/>
      <c r="O241" s="22" t="s">
        <v>988</v>
      </c>
      <c r="P241" s="23" t="s">
        <v>43</v>
      </c>
      <c r="Q241" s="23" t="s">
        <v>225</v>
      </c>
      <c r="R241" s="23" t="s">
        <v>225</v>
      </c>
      <c r="S241" s="24" t="s">
        <v>225</v>
      </c>
    </row>
    <row r="242" spans="1:19" ht="15.75" hidden="1" customHeight="1" x14ac:dyDescent="0.2">
      <c r="A242" s="9"/>
      <c r="B242" s="10"/>
      <c r="C242" s="9"/>
      <c r="D242" s="9"/>
      <c r="E242" s="33" t="s">
        <v>989</v>
      </c>
      <c r="F242" s="34" t="s">
        <v>442</v>
      </c>
      <c r="G242" s="35" t="s">
        <v>443</v>
      </c>
      <c r="H242" s="9"/>
      <c r="I242" s="9" t="s">
        <v>990</v>
      </c>
      <c r="J242" s="9" t="s">
        <v>43</v>
      </c>
      <c r="K242" s="9" t="s">
        <v>225</v>
      </c>
      <c r="L242" s="9" t="s">
        <v>225</v>
      </c>
      <c r="M242" s="9" t="s">
        <v>225</v>
      </c>
      <c r="N242" s="9"/>
      <c r="O242" s="22" t="s">
        <v>990</v>
      </c>
      <c r="P242" s="23" t="s">
        <v>43</v>
      </c>
      <c r="Q242" s="23" t="s">
        <v>225</v>
      </c>
      <c r="R242" s="23" t="s">
        <v>225</v>
      </c>
      <c r="S242" s="24" t="s">
        <v>225</v>
      </c>
    </row>
    <row r="243" spans="1:19" ht="15.75" hidden="1" customHeight="1" x14ac:dyDescent="0.2">
      <c r="A243" s="9"/>
      <c r="B243" s="10"/>
      <c r="C243" s="9"/>
      <c r="D243" s="9"/>
      <c r="E243" s="33" t="s">
        <v>86</v>
      </c>
      <c r="F243" s="34" t="s">
        <v>991</v>
      </c>
      <c r="G243" s="35" t="s">
        <v>487</v>
      </c>
      <c r="H243" s="9"/>
      <c r="I243" s="9" t="s">
        <v>992</v>
      </c>
      <c r="J243" s="9" t="s">
        <v>43</v>
      </c>
      <c r="K243" s="9" t="s">
        <v>225</v>
      </c>
      <c r="L243" s="9" t="s">
        <v>225</v>
      </c>
      <c r="M243" s="9" t="s">
        <v>225</v>
      </c>
      <c r="N243" s="9"/>
      <c r="O243" s="22" t="s">
        <v>992</v>
      </c>
      <c r="P243" s="23" t="s">
        <v>43</v>
      </c>
      <c r="Q243" s="23" t="s">
        <v>225</v>
      </c>
      <c r="R243" s="23" t="s">
        <v>225</v>
      </c>
      <c r="S243" s="24" t="s">
        <v>225</v>
      </c>
    </row>
    <row r="244" spans="1:19" ht="15.75" hidden="1" customHeight="1" x14ac:dyDescent="0.2">
      <c r="A244" s="9"/>
      <c r="B244" s="10"/>
      <c r="C244" s="9"/>
      <c r="D244" s="9"/>
      <c r="E244" s="33" t="s">
        <v>993</v>
      </c>
      <c r="F244" s="34" t="s">
        <v>994</v>
      </c>
      <c r="G244" s="35" t="s">
        <v>487</v>
      </c>
      <c r="H244" s="9"/>
      <c r="I244" s="9" t="s">
        <v>995</v>
      </c>
      <c r="J244" s="9" t="s">
        <v>43</v>
      </c>
      <c r="K244" s="9" t="s">
        <v>225</v>
      </c>
      <c r="L244" s="9" t="s">
        <v>225</v>
      </c>
      <c r="M244" s="9" t="s">
        <v>226</v>
      </c>
      <c r="N244" s="9"/>
      <c r="O244" s="22" t="s">
        <v>995</v>
      </c>
      <c r="P244" s="23" t="s">
        <v>43</v>
      </c>
      <c r="Q244" s="23" t="s">
        <v>225</v>
      </c>
      <c r="R244" s="23" t="s">
        <v>225</v>
      </c>
      <c r="S244" s="24" t="s">
        <v>226</v>
      </c>
    </row>
    <row r="245" spans="1:19" ht="15.75" hidden="1" customHeight="1" x14ac:dyDescent="0.2">
      <c r="A245" s="9"/>
      <c r="B245" s="10"/>
      <c r="C245" s="9"/>
      <c r="D245" s="9"/>
      <c r="E245" s="33" t="s">
        <v>996</v>
      </c>
      <c r="F245" s="34" t="s">
        <v>501</v>
      </c>
      <c r="G245" s="35" t="s">
        <v>375</v>
      </c>
      <c r="H245" s="9"/>
      <c r="I245" s="9" t="s">
        <v>997</v>
      </c>
      <c r="J245" s="9" t="s">
        <v>43</v>
      </c>
      <c r="K245" s="9" t="s">
        <v>225</v>
      </c>
      <c r="L245" s="9" t="s">
        <v>225</v>
      </c>
      <c r="M245" s="9" t="s">
        <v>226</v>
      </c>
      <c r="N245" s="9"/>
      <c r="O245" s="22" t="s">
        <v>997</v>
      </c>
      <c r="P245" s="23" t="s">
        <v>43</v>
      </c>
      <c r="Q245" s="23" t="s">
        <v>225</v>
      </c>
      <c r="R245" s="23" t="s">
        <v>225</v>
      </c>
      <c r="S245" s="24" t="s">
        <v>226</v>
      </c>
    </row>
    <row r="246" spans="1:19" ht="15.75" hidden="1" customHeight="1" x14ac:dyDescent="0.2">
      <c r="A246" s="9"/>
      <c r="B246" s="10"/>
      <c r="C246" s="9"/>
      <c r="D246" s="9"/>
      <c r="E246" s="33" t="s">
        <v>998</v>
      </c>
      <c r="F246" s="34" t="s">
        <v>869</v>
      </c>
      <c r="G246" s="35" t="s">
        <v>375</v>
      </c>
      <c r="H246" s="9"/>
      <c r="I246" s="9" t="s">
        <v>999</v>
      </c>
      <c r="J246" s="9" t="s">
        <v>43</v>
      </c>
      <c r="K246" s="9" t="s">
        <v>225</v>
      </c>
      <c r="L246" s="9" t="s">
        <v>225</v>
      </c>
      <c r="M246" s="9" t="s">
        <v>226</v>
      </c>
      <c r="N246" s="9"/>
      <c r="O246" s="22" t="s">
        <v>999</v>
      </c>
      <c r="P246" s="23" t="s">
        <v>43</v>
      </c>
      <c r="Q246" s="23" t="s">
        <v>225</v>
      </c>
      <c r="R246" s="23" t="s">
        <v>225</v>
      </c>
      <c r="S246" s="24" t="s">
        <v>226</v>
      </c>
    </row>
    <row r="247" spans="1:19" ht="15.75" customHeight="1" x14ac:dyDescent="0.2">
      <c r="A247" s="9"/>
      <c r="B247" s="10"/>
      <c r="C247" s="9"/>
      <c r="D247" s="9"/>
      <c r="E247" s="14" t="s">
        <v>1000</v>
      </c>
      <c r="F247" s="15" t="s">
        <v>1001</v>
      </c>
      <c r="G247" s="16" t="s">
        <v>223</v>
      </c>
      <c r="H247" s="9"/>
      <c r="I247" s="9" t="s">
        <v>1002</v>
      </c>
      <c r="J247" s="9" t="s">
        <v>43</v>
      </c>
      <c r="K247" s="9" t="s">
        <v>225</v>
      </c>
      <c r="L247" s="9" t="s">
        <v>225</v>
      </c>
      <c r="M247" s="9" t="s">
        <v>226</v>
      </c>
      <c r="N247" s="9"/>
      <c r="O247" s="22" t="s">
        <v>1002</v>
      </c>
      <c r="P247" s="23" t="s">
        <v>43</v>
      </c>
      <c r="Q247" s="23" t="s">
        <v>225</v>
      </c>
      <c r="R247" s="23" t="s">
        <v>225</v>
      </c>
      <c r="S247" s="24" t="s">
        <v>226</v>
      </c>
    </row>
    <row r="248" spans="1:19" ht="15.75" customHeight="1" x14ac:dyDescent="0.2">
      <c r="A248" s="9"/>
      <c r="B248" s="10"/>
      <c r="C248" s="9"/>
      <c r="D248" s="9"/>
      <c r="E248" s="14" t="s">
        <v>1003</v>
      </c>
      <c r="F248" s="15" t="s">
        <v>1004</v>
      </c>
      <c r="G248" s="16" t="s">
        <v>223</v>
      </c>
      <c r="H248" s="9"/>
      <c r="I248" s="9" t="s">
        <v>1005</v>
      </c>
      <c r="J248" s="9" t="s">
        <v>43</v>
      </c>
      <c r="K248" s="9" t="s">
        <v>225</v>
      </c>
      <c r="L248" s="9" t="s">
        <v>225</v>
      </c>
      <c r="M248" s="9" t="s">
        <v>226</v>
      </c>
      <c r="N248" s="9"/>
      <c r="O248" s="22" t="s">
        <v>1005</v>
      </c>
      <c r="P248" s="23" t="s">
        <v>43</v>
      </c>
      <c r="Q248" s="23" t="s">
        <v>225</v>
      </c>
      <c r="R248" s="23" t="s">
        <v>225</v>
      </c>
      <c r="S248" s="24" t="s">
        <v>226</v>
      </c>
    </row>
    <row r="249" spans="1:19" ht="15.75" customHeight="1" x14ac:dyDescent="0.2">
      <c r="A249" s="9"/>
      <c r="B249" s="10"/>
      <c r="C249" s="9"/>
      <c r="D249" s="9"/>
      <c r="E249" s="14" t="s">
        <v>1006</v>
      </c>
      <c r="F249" s="15" t="s">
        <v>1007</v>
      </c>
      <c r="G249" s="16" t="s">
        <v>223</v>
      </c>
      <c r="H249" s="9"/>
      <c r="I249" s="9" t="s">
        <v>1008</v>
      </c>
      <c r="J249" s="9" t="s">
        <v>43</v>
      </c>
      <c r="K249" s="9" t="s">
        <v>225</v>
      </c>
      <c r="L249" s="9" t="s">
        <v>225</v>
      </c>
      <c r="M249" s="9" t="s">
        <v>225</v>
      </c>
      <c r="N249" s="9"/>
      <c r="O249" s="22" t="s">
        <v>1008</v>
      </c>
      <c r="P249" s="23" t="s">
        <v>43</v>
      </c>
      <c r="Q249" s="23" t="s">
        <v>225</v>
      </c>
      <c r="R249" s="23" t="s">
        <v>225</v>
      </c>
      <c r="S249" s="24" t="s">
        <v>225</v>
      </c>
    </row>
    <row r="250" spans="1:19" ht="15.75" customHeight="1" x14ac:dyDescent="0.2">
      <c r="A250" s="9"/>
      <c r="B250" s="10"/>
      <c r="C250" s="9"/>
      <c r="D250" s="9"/>
      <c r="E250" s="14" t="s">
        <v>1009</v>
      </c>
      <c r="F250" s="15" t="s">
        <v>1010</v>
      </c>
      <c r="G250" s="16" t="s">
        <v>223</v>
      </c>
      <c r="H250" s="9"/>
      <c r="I250" s="9" t="s">
        <v>1011</v>
      </c>
      <c r="J250" s="9" t="s">
        <v>43</v>
      </c>
      <c r="K250" s="9" t="s">
        <v>225</v>
      </c>
      <c r="L250" s="9" t="s">
        <v>225</v>
      </c>
      <c r="M250" s="9" t="s">
        <v>225</v>
      </c>
      <c r="N250" s="9"/>
      <c r="O250" s="22" t="s">
        <v>1011</v>
      </c>
      <c r="P250" s="23" t="s">
        <v>43</v>
      </c>
      <c r="Q250" s="23" t="s">
        <v>225</v>
      </c>
      <c r="R250" s="23" t="s">
        <v>225</v>
      </c>
      <c r="S250" s="24" t="s">
        <v>225</v>
      </c>
    </row>
    <row r="251" spans="1:19" ht="15.75" hidden="1" customHeight="1" x14ac:dyDescent="0.2">
      <c r="A251" s="9"/>
      <c r="B251" s="10"/>
      <c r="C251" s="9"/>
      <c r="D251" s="9"/>
      <c r="E251" s="14" t="s">
        <v>1012</v>
      </c>
      <c r="F251" s="15" t="s">
        <v>1013</v>
      </c>
      <c r="G251" s="16" t="s">
        <v>360</v>
      </c>
      <c r="H251" s="9"/>
      <c r="I251" s="9" t="s">
        <v>1014</v>
      </c>
      <c r="J251" s="9" t="s">
        <v>110</v>
      </c>
      <c r="K251" s="9" t="s">
        <v>225</v>
      </c>
      <c r="L251" s="9" t="s">
        <v>225</v>
      </c>
      <c r="M251" s="9" t="s">
        <v>225</v>
      </c>
      <c r="N251" s="9"/>
      <c r="O251" s="22" t="s">
        <v>1014</v>
      </c>
      <c r="P251" s="23" t="s">
        <v>110</v>
      </c>
      <c r="Q251" s="23" t="s">
        <v>225</v>
      </c>
      <c r="R251" s="23" t="s">
        <v>225</v>
      </c>
      <c r="S251" s="24" t="s">
        <v>225</v>
      </c>
    </row>
    <row r="252" spans="1:19" ht="15.75" hidden="1" customHeight="1" x14ac:dyDescent="0.2">
      <c r="A252" s="9"/>
      <c r="B252" s="10"/>
      <c r="C252" s="9"/>
      <c r="D252" s="9"/>
      <c r="E252" s="14" t="s">
        <v>1015</v>
      </c>
      <c r="F252" s="15" t="s">
        <v>1016</v>
      </c>
      <c r="G252" s="16" t="s">
        <v>1017</v>
      </c>
      <c r="H252" s="9"/>
      <c r="I252" s="9" t="s">
        <v>1018</v>
      </c>
      <c r="J252" s="9" t="s">
        <v>43</v>
      </c>
      <c r="K252" s="9" t="s">
        <v>225</v>
      </c>
      <c r="L252" s="9" t="s">
        <v>225</v>
      </c>
      <c r="M252" s="9" t="s">
        <v>226</v>
      </c>
      <c r="N252" s="9"/>
      <c r="O252" s="22" t="s">
        <v>1018</v>
      </c>
      <c r="P252" s="23" t="s">
        <v>43</v>
      </c>
      <c r="Q252" s="23" t="s">
        <v>225</v>
      </c>
      <c r="R252" s="23" t="s">
        <v>225</v>
      </c>
      <c r="S252" s="24" t="s">
        <v>226</v>
      </c>
    </row>
    <row r="253" spans="1:19" ht="15.75" hidden="1" customHeight="1" x14ac:dyDescent="0.2">
      <c r="A253" s="9"/>
      <c r="B253" s="10"/>
      <c r="C253" s="9"/>
      <c r="D253" s="9"/>
      <c r="E253" s="14" t="s">
        <v>1019</v>
      </c>
      <c r="F253" s="15" t="s">
        <v>1020</v>
      </c>
      <c r="G253" s="16" t="s">
        <v>1021</v>
      </c>
      <c r="H253" s="9"/>
      <c r="I253" s="9" t="s">
        <v>1022</v>
      </c>
      <c r="J253" s="9" t="s">
        <v>43</v>
      </c>
      <c r="K253" s="9" t="s">
        <v>225</v>
      </c>
      <c r="L253" s="9" t="s">
        <v>225</v>
      </c>
      <c r="M253" s="9" t="s">
        <v>226</v>
      </c>
      <c r="N253" s="9"/>
      <c r="O253" s="22" t="s">
        <v>1022</v>
      </c>
      <c r="P253" s="23" t="s">
        <v>43</v>
      </c>
      <c r="Q253" s="23" t="s">
        <v>225</v>
      </c>
      <c r="R253" s="23" t="s">
        <v>225</v>
      </c>
      <c r="S253" s="24" t="s">
        <v>226</v>
      </c>
    </row>
    <row r="254" spans="1:19" ht="15.75" hidden="1" customHeight="1" x14ac:dyDescent="0.2">
      <c r="A254" s="9"/>
      <c r="B254" s="10"/>
      <c r="C254" s="9"/>
      <c r="D254" s="9"/>
      <c r="E254" s="14" t="s">
        <v>1023</v>
      </c>
      <c r="F254" s="15" t="s">
        <v>1024</v>
      </c>
      <c r="G254" s="16" t="s">
        <v>1025</v>
      </c>
      <c r="H254" s="9"/>
      <c r="I254" s="9" t="s">
        <v>1026</v>
      </c>
      <c r="J254" s="9" t="s">
        <v>43</v>
      </c>
      <c r="K254" s="9" t="s">
        <v>225</v>
      </c>
      <c r="L254" s="9" t="s">
        <v>225</v>
      </c>
      <c r="M254" s="9" t="s">
        <v>226</v>
      </c>
      <c r="N254" s="9"/>
      <c r="O254" s="22" t="s">
        <v>1026</v>
      </c>
      <c r="P254" s="23" t="s">
        <v>43</v>
      </c>
      <c r="Q254" s="23" t="s">
        <v>225</v>
      </c>
      <c r="R254" s="23" t="s">
        <v>225</v>
      </c>
      <c r="S254" s="24" t="s">
        <v>226</v>
      </c>
    </row>
    <row r="255" spans="1:19" ht="15.75" hidden="1" customHeight="1" x14ac:dyDescent="0.2">
      <c r="A255" s="9"/>
      <c r="B255" s="10"/>
      <c r="C255" s="9"/>
      <c r="D255" s="9"/>
      <c r="E255" s="14" t="s">
        <v>1027</v>
      </c>
      <c r="F255" s="15" t="s">
        <v>769</v>
      </c>
      <c r="G255" s="16" t="s">
        <v>1028</v>
      </c>
      <c r="H255" s="9"/>
      <c r="I255" s="9" t="s">
        <v>1029</v>
      </c>
      <c r="J255" s="9" t="s">
        <v>43</v>
      </c>
      <c r="K255" s="9" t="s">
        <v>225</v>
      </c>
      <c r="L255" s="9" t="s">
        <v>225</v>
      </c>
      <c r="M255" s="9" t="s">
        <v>226</v>
      </c>
      <c r="N255" s="9"/>
      <c r="O255" s="22" t="s">
        <v>1029</v>
      </c>
      <c r="P255" s="23" t="s">
        <v>43</v>
      </c>
      <c r="Q255" s="23" t="s">
        <v>225</v>
      </c>
      <c r="R255" s="23" t="s">
        <v>225</v>
      </c>
      <c r="S255" s="24" t="s">
        <v>226</v>
      </c>
    </row>
    <row r="256" spans="1:19" ht="15.75" hidden="1" customHeight="1" x14ac:dyDescent="0.2">
      <c r="A256" s="9"/>
      <c r="B256" s="10"/>
      <c r="C256" s="9"/>
      <c r="D256" s="9"/>
      <c r="E256" s="14" t="s">
        <v>1030</v>
      </c>
      <c r="F256" s="15" t="s">
        <v>1031</v>
      </c>
      <c r="G256" s="16" t="s">
        <v>1032</v>
      </c>
      <c r="H256" s="9"/>
      <c r="I256" s="9" t="s">
        <v>1033</v>
      </c>
      <c r="J256" s="9" t="s">
        <v>43</v>
      </c>
      <c r="K256" s="9" t="s">
        <v>225</v>
      </c>
      <c r="L256" s="9" t="s">
        <v>225</v>
      </c>
      <c r="M256" s="9" t="s">
        <v>226</v>
      </c>
      <c r="N256" s="9"/>
      <c r="O256" s="22" t="s">
        <v>1033</v>
      </c>
      <c r="P256" s="23" t="s">
        <v>43</v>
      </c>
      <c r="Q256" s="23" t="s">
        <v>225</v>
      </c>
      <c r="R256" s="23" t="s">
        <v>225</v>
      </c>
      <c r="S256" s="24" t="s">
        <v>226</v>
      </c>
    </row>
    <row r="257" spans="1:19" ht="15.75" hidden="1" customHeight="1" x14ac:dyDescent="0.2">
      <c r="A257" s="9"/>
      <c r="B257" s="10"/>
      <c r="C257" s="9"/>
      <c r="D257" s="9"/>
      <c r="E257" s="14" t="s">
        <v>1034</v>
      </c>
      <c r="F257" s="15" t="s">
        <v>1035</v>
      </c>
      <c r="G257" s="16" t="s">
        <v>1036</v>
      </c>
      <c r="H257" s="9"/>
      <c r="I257" s="9" t="s">
        <v>1037</v>
      </c>
      <c r="J257" s="9" t="s">
        <v>43</v>
      </c>
      <c r="K257" s="9" t="s">
        <v>226</v>
      </c>
      <c r="L257" s="9" t="s">
        <v>225</v>
      </c>
      <c r="M257" s="9" t="s">
        <v>226</v>
      </c>
      <c r="N257" s="9"/>
      <c r="O257" s="22" t="s">
        <v>1037</v>
      </c>
      <c r="P257" s="23" t="s">
        <v>43</v>
      </c>
      <c r="Q257" s="23" t="s">
        <v>226</v>
      </c>
      <c r="R257" s="23" t="s">
        <v>225</v>
      </c>
      <c r="S257" s="24" t="s">
        <v>226</v>
      </c>
    </row>
    <row r="258" spans="1:19" ht="15.75" hidden="1" customHeight="1" x14ac:dyDescent="0.2">
      <c r="A258" s="9"/>
      <c r="B258" s="10"/>
      <c r="C258" s="9"/>
      <c r="D258" s="9"/>
      <c r="E258" s="14" t="s">
        <v>1038</v>
      </c>
      <c r="F258" s="15" t="s">
        <v>1039</v>
      </c>
      <c r="G258" s="16" t="s">
        <v>1040</v>
      </c>
      <c r="H258" s="9"/>
      <c r="I258" s="9" t="s">
        <v>1041</v>
      </c>
      <c r="J258" s="9" t="s">
        <v>43</v>
      </c>
      <c r="K258" s="9" t="s">
        <v>226</v>
      </c>
      <c r="L258" s="9" t="s">
        <v>225</v>
      </c>
      <c r="M258" s="9" t="s">
        <v>226</v>
      </c>
      <c r="N258" s="9"/>
      <c r="O258" s="22" t="s">
        <v>1041</v>
      </c>
      <c r="P258" s="23" t="s">
        <v>43</v>
      </c>
      <c r="Q258" s="23" t="s">
        <v>226</v>
      </c>
      <c r="R258" s="23" t="s">
        <v>225</v>
      </c>
      <c r="S258" s="24" t="s">
        <v>226</v>
      </c>
    </row>
    <row r="259" spans="1:19" ht="15.75" hidden="1" customHeight="1" x14ac:dyDescent="0.2">
      <c r="A259" s="9"/>
      <c r="B259" s="10"/>
      <c r="C259" s="9"/>
      <c r="D259" s="9"/>
      <c r="E259" s="14" t="s">
        <v>1042</v>
      </c>
      <c r="F259" s="15" t="s">
        <v>1043</v>
      </c>
      <c r="G259" s="16" t="s">
        <v>223</v>
      </c>
      <c r="H259" s="9"/>
      <c r="I259" s="9" t="s">
        <v>1044</v>
      </c>
      <c r="J259" s="9" t="s">
        <v>43</v>
      </c>
      <c r="K259" s="9" t="s">
        <v>225</v>
      </c>
      <c r="L259" s="9" t="s">
        <v>225</v>
      </c>
      <c r="M259" s="9" t="s">
        <v>226</v>
      </c>
      <c r="N259" s="9"/>
      <c r="O259" s="22" t="s">
        <v>1044</v>
      </c>
      <c r="P259" s="23" t="s">
        <v>43</v>
      </c>
      <c r="Q259" s="23" t="s">
        <v>225</v>
      </c>
      <c r="R259" s="23" t="s">
        <v>225</v>
      </c>
      <c r="S259" s="24" t="s">
        <v>226</v>
      </c>
    </row>
    <row r="260" spans="1:19" ht="15.75" hidden="1" customHeight="1" x14ac:dyDescent="0.2">
      <c r="A260" s="9"/>
      <c r="B260" s="10"/>
      <c r="C260" s="9"/>
      <c r="D260" s="9"/>
      <c r="E260" s="14" t="s">
        <v>1045</v>
      </c>
      <c r="F260" s="15" t="s">
        <v>1046</v>
      </c>
      <c r="G260" s="16" t="s">
        <v>375</v>
      </c>
      <c r="H260" s="9"/>
      <c r="I260" s="9" t="s">
        <v>1047</v>
      </c>
      <c r="J260" s="9" t="s">
        <v>43</v>
      </c>
      <c r="K260" s="9" t="s">
        <v>225</v>
      </c>
      <c r="L260" s="9" t="s">
        <v>225</v>
      </c>
      <c r="M260" s="9" t="s">
        <v>225</v>
      </c>
      <c r="N260" s="9"/>
      <c r="O260" s="22" t="s">
        <v>1047</v>
      </c>
      <c r="P260" s="23" t="s">
        <v>43</v>
      </c>
      <c r="Q260" s="23" t="s">
        <v>225</v>
      </c>
      <c r="R260" s="23" t="s">
        <v>225</v>
      </c>
      <c r="S260" s="24" t="s">
        <v>225</v>
      </c>
    </row>
    <row r="261" spans="1:19" ht="15.75" hidden="1" customHeight="1" x14ac:dyDescent="0.2">
      <c r="A261" s="9"/>
      <c r="B261" s="10"/>
      <c r="C261" s="9"/>
      <c r="D261" s="9"/>
      <c r="E261" s="14" t="s">
        <v>1048</v>
      </c>
      <c r="F261" s="15" t="s">
        <v>1049</v>
      </c>
      <c r="G261" s="16" t="s">
        <v>1050</v>
      </c>
      <c r="H261" s="9"/>
      <c r="I261" s="9" t="s">
        <v>1051</v>
      </c>
      <c r="J261" s="9" t="s">
        <v>43</v>
      </c>
      <c r="K261" s="9" t="s">
        <v>226</v>
      </c>
      <c r="L261" s="9" t="s">
        <v>225</v>
      </c>
      <c r="M261" s="9" t="s">
        <v>225</v>
      </c>
      <c r="N261" s="9"/>
      <c r="O261" s="22" t="s">
        <v>1051</v>
      </c>
      <c r="P261" s="23" t="s">
        <v>43</v>
      </c>
      <c r="Q261" s="23" t="s">
        <v>226</v>
      </c>
      <c r="R261" s="23" t="s">
        <v>225</v>
      </c>
      <c r="S261" s="24" t="s">
        <v>225</v>
      </c>
    </row>
    <row r="262" spans="1:19" ht="15.75" hidden="1" customHeight="1" x14ac:dyDescent="0.2">
      <c r="A262" s="9"/>
      <c r="B262" s="10"/>
      <c r="C262" s="9"/>
      <c r="D262" s="9"/>
      <c r="E262" s="14" t="s">
        <v>1052</v>
      </c>
      <c r="F262" s="15" t="s">
        <v>1053</v>
      </c>
      <c r="G262" s="16" t="s">
        <v>1054</v>
      </c>
      <c r="H262" s="9"/>
      <c r="I262" s="9" t="s">
        <v>1055</v>
      </c>
      <c r="J262" s="9" t="s">
        <v>1056</v>
      </c>
      <c r="K262" s="9" t="s">
        <v>226</v>
      </c>
      <c r="L262" s="9" t="s">
        <v>225</v>
      </c>
      <c r="M262" s="9" t="s">
        <v>225</v>
      </c>
      <c r="N262" s="9"/>
      <c r="O262" s="22" t="s">
        <v>1055</v>
      </c>
      <c r="P262" s="23" t="s">
        <v>1056</v>
      </c>
      <c r="Q262" s="23" t="s">
        <v>226</v>
      </c>
      <c r="R262" s="23" t="s">
        <v>225</v>
      </c>
      <c r="S262" s="24" t="s">
        <v>225</v>
      </c>
    </row>
    <row r="263" spans="1:19" ht="15.75" hidden="1" customHeight="1" x14ac:dyDescent="0.2">
      <c r="A263" s="9"/>
      <c r="B263" s="10"/>
      <c r="C263" s="9"/>
      <c r="D263" s="9"/>
      <c r="E263" s="14" t="s">
        <v>1057</v>
      </c>
      <c r="F263" s="15" t="s">
        <v>230</v>
      </c>
      <c r="G263" s="16" t="s">
        <v>223</v>
      </c>
      <c r="H263" s="9"/>
      <c r="I263" s="9" t="s">
        <v>1058</v>
      </c>
      <c r="J263" s="9" t="s">
        <v>1059</v>
      </c>
      <c r="K263" s="9" t="s">
        <v>225</v>
      </c>
      <c r="L263" s="9" t="s">
        <v>225</v>
      </c>
      <c r="M263" s="9" t="s">
        <v>226</v>
      </c>
      <c r="N263" s="9"/>
      <c r="O263" s="22" t="s">
        <v>1058</v>
      </c>
      <c r="P263" s="23" t="s">
        <v>1059</v>
      </c>
      <c r="Q263" s="23" t="s">
        <v>225</v>
      </c>
      <c r="R263" s="23" t="s">
        <v>225</v>
      </c>
      <c r="S263" s="24" t="s">
        <v>226</v>
      </c>
    </row>
    <row r="264" spans="1:19" ht="15.75" hidden="1" customHeight="1" x14ac:dyDescent="0.2">
      <c r="A264" s="9"/>
      <c r="B264" s="10"/>
      <c r="C264" s="9"/>
      <c r="D264" s="9"/>
      <c r="E264" s="14" t="s">
        <v>1060</v>
      </c>
      <c r="F264" s="15" t="s">
        <v>322</v>
      </c>
      <c r="G264" s="16" t="s">
        <v>223</v>
      </c>
      <c r="H264" s="9"/>
      <c r="I264" s="9" t="s">
        <v>1061</v>
      </c>
      <c r="J264" s="9" t="s">
        <v>1059</v>
      </c>
      <c r="K264" s="9" t="s">
        <v>226</v>
      </c>
      <c r="L264" s="9" t="s">
        <v>225</v>
      </c>
      <c r="M264" s="9" t="s">
        <v>226</v>
      </c>
      <c r="N264" s="9"/>
      <c r="O264" s="22" t="s">
        <v>1061</v>
      </c>
      <c r="P264" s="23" t="s">
        <v>1059</v>
      </c>
      <c r="Q264" s="23" t="s">
        <v>226</v>
      </c>
      <c r="R264" s="23" t="s">
        <v>225</v>
      </c>
      <c r="S264" s="24" t="s">
        <v>226</v>
      </c>
    </row>
    <row r="265" spans="1:19" ht="15.75" hidden="1" customHeight="1" x14ac:dyDescent="0.2">
      <c r="A265" s="9"/>
      <c r="B265" s="10"/>
      <c r="C265" s="9"/>
      <c r="D265" s="9"/>
      <c r="E265" s="14" t="s">
        <v>1062</v>
      </c>
      <c r="F265" s="15" t="s">
        <v>490</v>
      </c>
      <c r="G265" s="16" t="s">
        <v>223</v>
      </c>
      <c r="H265" s="9"/>
      <c r="I265" s="9" t="s">
        <v>1063</v>
      </c>
      <c r="J265" s="9" t="s">
        <v>1059</v>
      </c>
      <c r="K265" s="9" t="s">
        <v>226</v>
      </c>
      <c r="L265" s="9" t="s">
        <v>225</v>
      </c>
      <c r="M265" s="9" t="s">
        <v>226</v>
      </c>
      <c r="N265" s="9"/>
      <c r="O265" s="22" t="s">
        <v>1063</v>
      </c>
      <c r="P265" s="23" t="s">
        <v>1059</v>
      </c>
      <c r="Q265" s="23" t="s">
        <v>226</v>
      </c>
      <c r="R265" s="23" t="s">
        <v>225</v>
      </c>
      <c r="S265" s="24" t="s">
        <v>226</v>
      </c>
    </row>
    <row r="266" spans="1:19" ht="15.75" hidden="1" customHeight="1" x14ac:dyDescent="0.2">
      <c r="A266" s="9"/>
      <c r="B266" s="10"/>
      <c r="C266" s="9"/>
      <c r="D266" s="9"/>
      <c r="E266" s="14" t="s">
        <v>1064</v>
      </c>
      <c r="F266" s="15" t="s">
        <v>498</v>
      </c>
      <c r="G266" s="16" t="s">
        <v>223</v>
      </c>
      <c r="H266" s="9"/>
      <c r="I266" s="9" t="s">
        <v>1065</v>
      </c>
      <c r="J266" s="9" t="s">
        <v>43</v>
      </c>
      <c r="K266" s="9" t="s">
        <v>225</v>
      </c>
      <c r="L266" s="9" t="s">
        <v>225</v>
      </c>
      <c r="M266" s="9" t="s">
        <v>226</v>
      </c>
      <c r="N266" s="9"/>
      <c r="O266" s="22" t="s">
        <v>1065</v>
      </c>
      <c r="P266" s="23" t="s">
        <v>43</v>
      </c>
      <c r="Q266" s="23" t="s">
        <v>225</v>
      </c>
      <c r="R266" s="23" t="s">
        <v>225</v>
      </c>
      <c r="S266" s="24" t="s">
        <v>226</v>
      </c>
    </row>
    <row r="267" spans="1:19" ht="15.75" hidden="1" customHeight="1" x14ac:dyDescent="0.2">
      <c r="A267" s="9"/>
      <c r="B267" s="10"/>
      <c r="C267" s="9"/>
      <c r="D267" s="9"/>
      <c r="E267" s="14" t="s">
        <v>1066</v>
      </c>
      <c r="F267" s="15" t="s">
        <v>315</v>
      </c>
      <c r="G267" s="16" t="s">
        <v>375</v>
      </c>
      <c r="H267" s="9"/>
      <c r="I267" s="9" t="s">
        <v>1067</v>
      </c>
      <c r="J267" s="9" t="s">
        <v>43</v>
      </c>
      <c r="K267" s="9" t="s">
        <v>226</v>
      </c>
      <c r="L267" s="9" t="s">
        <v>225</v>
      </c>
      <c r="M267" s="9" t="s">
        <v>226</v>
      </c>
      <c r="N267" s="9"/>
      <c r="O267" s="22" t="s">
        <v>1067</v>
      </c>
      <c r="P267" s="23" t="s">
        <v>43</v>
      </c>
      <c r="Q267" s="23" t="s">
        <v>226</v>
      </c>
      <c r="R267" s="23" t="s">
        <v>225</v>
      </c>
      <c r="S267" s="24" t="s">
        <v>226</v>
      </c>
    </row>
    <row r="268" spans="1:19" ht="15.75" hidden="1" customHeight="1" x14ac:dyDescent="0.2">
      <c r="A268" s="9"/>
      <c r="B268" s="10"/>
      <c r="C268" s="9"/>
      <c r="D268" s="9"/>
      <c r="E268" s="14" t="s">
        <v>1068</v>
      </c>
      <c r="F268" s="15" t="s">
        <v>1069</v>
      </c>
      <c r="G268" s="16" t="s">
        <v>326</v>
      </c>
      <c r="H268" s="9"/>
      <c r="I268" s="9" t="s">
        <v>1070</v>
      </c>
      <c r="J268" s="9" t="s">
        <v>673</v>
      </c>
      <c r="K268" s="9" t="s">
        <v>225</v>
      </c>
      <c r="L268" s="9" t="s">
        <v>225</v>
      </c>
      <c r="M268" s="9" t="s">
        <v>225</v>
      </c>
      <c r="N268" s="9"/>
      <c r="O268" s="22" t="s">
        <v>1070</v>
      </c>
      <c r="P268" s="23" t="s">
        <v>673</v>
      </c>
      <c r="Q268" s="23" t="s">
        <v>225</v>
      </c>
      <c r="R268" s="23" t="s">
        <v>225</v>
      </c>
      <c r="S268" s="24" t="s">
        <v>225</v>
      </c>
    </row>
    <row r="269" spans="1:19" ht="15.75" hidden="1" customHeight="1" x14ac:dyDescent="0.2">
      <c r="A269" s="9"/>
      <c r="B269" s="10"/>
      <c r="C269" s="9"/>
      <c r="D269" s="9"/>
      <c r="E269" s="14" t="s">
        <v>1071</v>
      </c>
      <c r="F269" s="15" t="s">
        <v>501</v>
      </c>
      <c r="G269" s="16" t="s">
        <v>375</v>
      </c>
      <c r="H269" s="9"/>
      <c r="I269" s="9" t="s">
        <v>1072</v>
      </c>
      <c r="J269" s="9" t="s">
        <v>673</v>
      </c>
      <c r="K269" s="9" t="s">
        <v>226</v>
      </c>
      <c r="L269" s="9" t="s">
        <v>225</v>
      </c>
      <c r="M269" s="9" t="s">
        <v>225</v>
      </c>
      <c r="N269" s="9"/>
      <c r="O269" s="22" t="s">
        <v>1072</v>
      </c>
      <c r="P269" s="23" t="s">
        <v>673</v>
      </c>
      <c r="Q269" s="23" t="s">
        <v>226</v>
      </c>
      <c r="R269" s="23" t="s">
        <v>225</v>
      </c>
      <c r="S269" s="24" t="s">
        <v>225</v>
      </c>
    </row>
    <row r="270" spans="1:19" ht="15.75" hidden="1" customHeight="1" x14ac:dyDescent="0.2">
      <c r="A270" s="9"/>
      <c r="B270" s="10"/>
      <c r="C270" s="9"/>
      <c r="D270" s="9"/>
      <c r="E270" s="33" t="s">
        <v>1073</v>
      </c>
      <c r="F270" s="34" t="s">
        <v>1074</v>
      </c>
      <c r="G270" s="35" t="s">
        <v>1075</v>
      </c>
      <c r="H270" s="9"/>
      <c r="I270" s="9" t="s">
        <v>1076</v>
      </c>
      <c r="J270" s="9" t="s">
        <v>1059</v>
      </c>
      <c r="K270" s="9" t="s">
        <v>225</v>
      </c>
      <c r="L270" s="9" t="s">
        <v>225</v>
      </c>
      <c r="M270" s="9" t="s">
        <v>225</v>
      </c>
      <c r="N270" s="9"/>
      <c r="O270" s="22" t="s">
        <v>1076</v>
      </c>
      <c r="P270" s="23" t="s">
        <v>1059</v>
      </c>
      <c r="Q270" s="23" t="s">
        <v>225</v>
      </c>
      <c r="R270" s="23" t="s">
        <v>225</v>
      </c>
      <c r="S270" s="24" t="s">
        <v>225</v>
      </c>
    </row>
    <row r="271" spans="1:19" ht="15.75" hidden="1" customHeight="1" x14ac:dyDescent="0.2">
      <c r="A271" s="9"/>
      <c r="B271" s="10"/>
      <c r="C271" s="9"/>
      <c r="D271" s="9"/>
      <c r="E271" s="33" t="s">
        <v>1077</v>
      </c>
      <c r="F271" s="34" t="s">
        <v>1078</v>
      </c>
      <c r="G271" s="35" t="s">
        <v>1079</v>
      </c>
      <c r="H271" s="36"/>
      <c r="I271" s="9" t="s">
        <v>1080</v>
      </c>
      <c r="J271" s="9" t="s">
        <v>673</v>
      </c>
      <c r="K271" s="9" t="s">
        <v>226</v>
      </c>
      <c r="L271" s="9" t="s">
        <v>225</v>
      </c>
      <c r="M271" s="9" t="s">
        <v>225</v>
      </c>
      <c r="N271" s="9"/>
      <c r="O271" s="22" t="s">
        <v>1080</v>
      </c>
      <c r="P271" s="23" t="s">
        <v>673</v>
      </c>
      <c r="Q271" s="23" t="s">
        <v>226</v>
      </c>
      <c r="R271" s="23" t="s">
        <v>225</v>
      </c>
      <c r="S271" s="24" t="s">
        <v>225</v>
      </c>
    </row>
    <row r="272" spans="1:19" ht="15.75" hidden="1" customHeight="1" x14ac:dyDescent="0.2">
      <c r="A272" s="9"/>
      <c r="B272" s="10"/>
      <c r="C272" s="9"/>
      <c r="D272" s="9"/>
      <c r="E272" s="33" t="s">
        <v>1081</v>
      </c>
      <c r="F272" s="34" t="s">
        <v>1082</v>
      </c>
      <c r="G272" s="35" t="s">
        <v>1083</v>
      </c>
      <c r="H272" s="36"/>
      <c r="I272" s="9" t="s">
        <v>1084</v>
      </c>
      <c r="J272" s="9" t="s">
        <v>673</v>
      </c>
      <c r="K272" s="9" t="s">
        <v>225</v>
      </c>
      <c r="L272" s="9" t="s">
        <v>225</v>
      </c>
      <c r="M272" s="9" t="s">
        <v>225</v>
      </c>
      <c r="N272" s="9"/>
      <c r="O272" s="22" t="s">
        <v>1084</v>
      </c>
      <c r="P272" s="23" t="s">
        <v>673</v>
      </c>
      <c r="Q272" s="23" t="s">
        <v>225</v>
      </c>
      <c r="R272" s="23" t="s">
        <v>225</v>
      </c>
      <c r="S272" s="24" t="s">
        <v>225</v>
      </c>
    </row>
    <row r="273" spans="1:19" ht="15.75" hidden="1" customHeight="1" x14ac:dyDescent="0.2">
      <c r="A273" s="9"/>
      <c r="B273" s="10"/>
      <c r="C273" s="9"/>
      <c r="D273" s="9"/>
      <c r="E273" s="33" t="s">
        <v>1085</v>
      </c>
      <c r="F273" s="34" t="s">
        <v>230</v>
      </c>
      <c r="G273" s="35" t="s">
        <v>223</v>
      </c>
      <c r="H273" s="36"/>
      <c r="I273" s="9" t="s">
        <v>1086</v>
      </c>
      <c r="J273" s="9" t="s">
        <v>43</v>
      </c>
      <c r="K273" s="9" t="s">
        <v>226</v>
      </c>
      <c r="L273" s="9" t="s">
        <v>225</v>
      </c>
      <c r="M273" s="9" t="s">
        <v>225</v>
      </c>
      <c r="N273" s="9"/>
      <c r="O273" s="22" t="s">
        <v>1086</v>
      </c>
      <c r="P273" s="23" t="s">
        <v>43</v>
      </c>
      <c r="Q273" s="23" t="s">
        <v>226</v>
      </c>
      <c r="R273" s="23" t="s">
        <v>225</v>
      </c>
      <c r="S273" s="24" t="s">
        <v>225</v>
      </c>
    </row>
    <row r="274" spans="1:19" ht="15.75" hidden="1" customHeight="1" x14ac:dyDescent="0.2">
      <c r="A274" s="9"/>
      <c r="B274" s="10"/>
      <c r="C274" s="9"/>
      <c r="D274" s="9"/>
      <c r="E274" s="33" t="s">
        <v>157</v>
      </c>
      <c r="F274" s="34" t="s">
        <v>1087</v>
      </c>
      <c r="G274" s="35" t="s">
        <v>1088</v>
      </c>
      <c r="H274" s="36"/>
      <c r="I274" s="9" t="s">
        <v>1089</v>
      </c>
      <c r="J274" s="9" t="s">
        <v>43</v>
      </c>
      <c r="K274" s="9" t="s">
        <v>225</v>
      </c>
      <c r="L274" s="9" t="s">
        <v>225</v>
      </c>
      <c r="M274" s="9" t="s">
        <v>225</v>
      </c>
      <c r="N274" s="9"/>
      <c r="O274" s="22" t="s">
        <v>1089</v>
      </c>
      <c r="P274" s="23" t="s">
        <v>43</v>
      </c>
      <c r="Q274" s="23" t="s">
        <v>225</v>
      </c>
      <c r="R274" s="23" t="s">
        <v>225</v>
      </c>
      <c r="S274" s="24" t="s">
        <v>225</v>
      </c>
    </row>
    <row r="275" spans="1:19" ht="15.75" hidden="1" customHeight="1" x14ac:dyDescent="0.2">
      <c r="A275" s="9"/>
      <c r="B275" s="10"/>
      <c r="C275" s="9"/>
      <c r="D275" s="9"/>
      <c r="E275" s="33" t="s">
        <v>1090</v>
      </c>
      <c r="F275" s="34" t="s">
        <v>1091</v>
      </c>
      <c r="G275" s="35" t="s">
        <v>236</v>
      </c>
      <c r="H275" s="36"/>
      <c r="I275" s="9" t="s">
        <v>1092</v>
      </c>
      <c r="J275" s="9" t="s">
        <v>33</v>
      </c>
      <c r="K275" s="9" t="s">
        <v>225</v>
      </c>
      <c r="L275" s="9" t="s">
        <v>225</v>
      </c>
      <c r="M275" s="9" t="s">
        <v>225</v>
      </c>
      <c r="N275" s="9"/>
      <c r="O275" s="22" t="s">
        <v>1092</v>
      </c>
      <c r="P275" s="23" t="s">
        <v>33</v>
      </c>
      <c r="Q275" s="23" t="s">
        <v>225</v>
      </c>
      <c r="R275" s="23" t="s">
        <v>225</v>
      </c>
      <c r="S275" s="24" t="s">
        <v>225</v>
      </c>
    </row>
    <row r="276" spans="1:19" ht="15.75" hidden="1" customHeight="1" x14ac:dyDescent="0.2">
      <c r="A276" s="9"/>
      <c r="B276" s="10"/>
      <c r="C276" s="9"/>
      <c r="D276" s="9"/>
      <c r="E276" s="33" t="s">
        <v>1093</v>
      </c>
      <c r="F276" s="34" t="s">
        <v>1094</v>
      </c>
      <c r="G276" s="35" t="s">
        <v>878</v>
      </c>
      <c r="H276" s="36"/>
      <c r="I276" s="9" t="s">
        <v>1095</v>
      </c>
      <c r="J276" s="9" t="s">
        <v>43</v>
      </c>
      <c r="K276" s="9" t="s">
        <v>225</v>
      </c>
      <c r="L276" s="9" t="s">
        <v>225</v>
      </c>
      <c r="M276" s="9" t="s">
        <v>226</v>
      </c>
      <c r="N276" s="9"/>
      <c r="O276" s="22" t="s">
        <v>1095</v>
      </c>
      <c r="P276" s="23" t="s">
        <v>43</v>
      </c>
      <c r="Q276" s="23" t="s">
        <v>225</v>
      </c>
      <c r="R276" s="23" t="s">
        <v>225</v>
      </c>
      <c r="S276" s="24" t="s">
        <v>226</v>
      </c>
    </row>
    <row r="277" spans="1:19" ht="15.75" hidden="1" customHeight="1" x14ac:dyDescent="0.2">
      <c r="A277" s="9"/>
      <c r="B277" s="10"/>
      <c r="C277" s="9"/>
      <c r="D277" s="9"/>
      <c r="E277" s="33" t="s">
        <v>1096</v>
      </c>
      <c r="F277" s="34" t="s">
        <v>1097</v>
      </c>
      <c r="G277" s="35" t="s">
        <v>223</v>
      </c>
      <c r="H277" s="36"/>
      <c r="I277" s="9" t="s">
        <v>1098</v>
      </c>
      <c r="J277" s="9" t="s">
        <v>43</v>
      </c>
      <c r="K277" s="9" t="s">
        <v>225</v>
      </c>
      <c r="L277" s="9" t="s">
        <v>225</v>
      </c>
      <c r="M277" s="9" t="s">
        <v>226</v>
      </c>
      <c r="N277" s="9"/>
      <c r="O277" s="22" t="s">
        <v>1098</v>
      </c>
      <c r="P277" s="23" t="s">
        <v>43</v>
      </c>
      <c r="Q277" s="23" t="s">
        <v>225</v>
      </c>
      <c r="R277" s="23" t="s">
        <v>225</v>
      </c>
      <c r="S277" s="24" t="s">
        <v>226</v>
      </c>
    </row>
    <row r="278" spans="1:19" ht="15.75" hidden="1" customHeight="1" x14ac:dyDescent="0.2">
      <c r="A278" s="9"/>
      <c r="B278" s="10"/>
      <c r="C278" s="9"/>
      <c r="D278" s="9"/>
      <c r="E278" s="33" t="s">
        <v>1099</v>
      </c>
      <c r="F278" s="34" t="s">
        <v>1100</v>
      </c>
      <c r="G278" s="35" t="s">
        <v>375</v>
      </c>
      <c r="H278" s="36"/>
      <c r="I278" s="9" t="s">
        <v>1101</v>
      </c>
      <c r="J278" s="9" t="s">
        <v>43</v>
      </c>
      <c r="K278" s="9" t="s">
        <v>225</v>
      </c>
      <c r="L278" s="9" t="s">
        <v>225</v>
      </c>
      <c r="M278" s="9" t="s">
        <v>226</v>
      </c>
      <c r="N278" s="9"/>
      <c r="O278" s="22" t="s">
        <v>1101</v>
      </c>
      <c r="P278" s="23" t="s">
        <v>43</v>
      </c>
      <c r="Q278" s="23" t="s">
        <v>225</v>
      </c>
      <c r="R278" s="23" t="s">
        <v>225</v>
      </c>
      <c r="S278" s="24" t="s">
        <v>226</v>
      </c>
    </row>
    <row r="279" spans="1:19" ht="15.75" hidden="1" customHeight="1" x14ac:dyDescent="0.2">
      <c r="A279" s="9"/>
      <c r="B279" s="10"/>
      <c r="C279" s="9"/>
      <c r="D279" s="9"/>
      <c r="E279" s="33" t="s">
        <v>1102</v>
      </c>
      <c r="F279" s="34" t="s">
        <v>1103</v>
      </c>
      <c r="G279" s="35" t="s">
        <v>223</v>
      </c>
      <c r="H279" s="36"/>
      <c r="I279" s="9" t="s">
        <v>1104</v>
      </c>
      <c r="J279" s="9" t="s">
        <v>43</v>
      </c>
      <c r="K279" s="9" t="s">
        <v>225</v>
      </c>
      <c r="L279" s="9" t="s">
        <v>225</v>
      </c>
      <c r="M279" s="9" t="s">
        <v>226</v>
      </c>
      <c r="N279" s="9"/>
      <c r="O279" s="22" t="s">
        <v>1104</v>
      </c>
      <c r="P279" s="23" t="s">
        <v>43</v>
      </c>
      <c r="Q279" s="23" t="s">
        <v>225</v>
      </c>
      <c r="R279" s="23" t="s">
        <v>225</v>
      </c>
      <c r="S279" s="24" t="s">
        <v>226</v>
      </c>
    </row>
    <row r="280" spans="1:19" ht="15.75" hidden="1" customHeight="1" x14ac:dyDescent="0.2">
      <c r="A280" s="9"/>
      <c r="B280" s="10"/>
      <c r="C280" s="9"/>
      <c r="D280" s="9"/>
      <c r="E280" s="33" t="s">
        <v>1105</v>
      </c>
      <c r="F280" s="34" t="s">
        <v>1106</v>
      </c>
      <c r="G280" s="35" t="s">
        <v>1088</v>
      </c>
      <c r="H280" s="36"/>
      <c r="I280" s="9" t="s">
        <v>1107</v>
      </c>
      <c r="J280" s="9" t="s">
        <v>43</v>
      </c>
      <c r="K280" s="9" t="s">
        <v>225</v>
      </c>
      <c r="L280" s="9" t="s">
        <v>225</v>
      </c>
      <c r="M280" s="9" t="s">
        <v>226</v>
      </c>
      <c r="N280" s="9"/>
      <c r="O280" s="22" t="s">
        <v>1107</v>
      </c>
      <c r="P280" s="23" t="s">
        <v>43</v>
      </c>
      <c r="Q280" s="23" t="s">
        <v>225</v>
      </c>
      <c r="R280" s="23" t="s">
        <v>225</v>
      </c>
      <c r="S280" s="24" t="s">
        <v>226</v>
      </c>
    </row>
    <row r="281" spans="1:19" ht="15.75" hidden="1" customHeight="1" x14ac:dyDescent="0.2">
      <c r="A281" s="9"/>
      <c r="B281" s="10"/>
      <c r="C281" s="9"/>
      <c r="D281" s="9"/>
      <c r="E281" s="33" t="s">
        <v>137</v>
      </c>
      <c r="F281" s="34" t="s">
        <v>1108</v>
      </c>
      <c r="G281" s="35" t="s">
        <v>1088</v>
      </c>
      <c r="H281" s="36"/>
      <c r="I281" s="9" t="s">
        <v>1109</v>
      </c>
      <c r="J281" s="9" t="s">
        <v>43</v>
      </c>
      <c r="K281" s="9" t="s">
        <v>225</v>
      </c>
      <c r="L281" s="9" t="s">
        <v>225</v>
      </c>
      <c r="M281" s="9" t="s">
        <v>226</v>
      </c>
      <c r="N281" s="9"/>
      <c r="O281" s="22" t="s">
        <v>1109</v>
      </c>
      <c r="P281" s="23" t="s">
        <v>43</v>
      </c>
      <c r="Q281" s="23" t="s">
        <v>225</v>
      </c>
      <c r="R281" s="23" t="s">
        <v>225</v>
      </c>
      <c r="S281" s="24" t="s">
        <v>226</v>
      </c>
    </row>
    <row r="282" spans="1:19" ht="15.75" hidden="1" customHeight="1" x14ac:dyDescent="0.2">
      <c r="A282" s="9"/>
      <c r="B282" s="10"/>
      <c r="C282" s="9"/>
      <c r="D282" s="9"/>
      <c r="E282" s="33" t="s">
        <v>1110</v>
      </c>
      <c r="F282" s="34" t="s">
        <v>230</v>
      </c>
      <c r="G282" s="35" t="s">
        <v>223</v>
      </c>
      <c r="H282" s="36"/>
      <c r="I282" s="9" t="s">
        <v>1111</v>
      </c>
      <c r="J282" s="9" t="s">
        <v>43</v>
      </c>
      <c r="K282" s="9" t="s">
        <v>225</v>
      </c>
      <c r="L282" s="9" t="s">
        <v>225</v>
      </c>
      <c r="M282" s="9" t="s">
        <v>226</v>
      </c>
      <c r="N282" s="9"/>
      <c r="O282" s="22" t="s">
        <v>1111</v>
      </c>
      <c r="P282" s="23" t="s">
        <v>43</v>
      </c>
      <c r="Q282" s="23" t="s">
        <v>225</v>
      </c>
      <c r="R282" s="23" t="s">
        <v>225</v>
      </c>
      <c r="S282" s="24" t="s">
        <v>226</v>
      </c>
    </row>
    <row r="283" spans="1:19" ht="15.75" hidden="1" customHeight="1" x14ac:dyDescent="0.2">
      <c r="A283" s="9"/>
      <c r="B283" s="10"/>
      <c r="C283" s="9"/>
      <c r="D283" s="9"/>
      <c r="E283" s="33" t="s">
        <v>1112</v>
      </c>
      <c r="F283" s="34" t="s">
        <v>315</v>
      </c>
      <c r="G283" s="35" t="s">
        <v>316</v>
      </c>
      <c r="H283" s="36"/>
      <c r="I283" s="9" t="s">
        <v>1113</v>
      </c>
      <c r="J283" s="9" t="s">
        <v>43</v>
      </c>
      <c r="K283" s="9" t="s">
        <v>225</v>
      </c>
      <c r="L283" s="9" t="s">
        <v>225</v>
      </c>
      <c r="M283" s="9" t="s">
        <v>225</v>
      </c>
      <c r="N283" s="9"/>
      <c r="O283" s="22" t="s">
        <v>1113</v>
      </c>
      <c r="P283" s="23" t="s">
        <v>43</v>
      </c>
      <c r="Q283" s="23" t="s">
        <v>225</v>
      </c>
      <c r="R283" s="23" t="s">
        <v>225</v>
      </c>
      <c r="S283" s="24" t="s">
        <v>225</v>
      </c>
    </row>
    <row r="284" spans="1:19" ht="15.75" hidden="1" customHeight="1" x14ac:dyDescent="0.2">
      <c r="A284" s="9"/>
      <c r="B284" s="10"/>
      <c r="C284" s="9"/>
      <c r="D284" s="9"/>
      <c r="E284" s="33" t="s">
        <v>1114</v>
      </c>
      <c r="F284" s="34" t="s">
        <v>501</v>
      </c>
      <c r="G284" s="35" t="s">
        <v>375</v>
      </c>
      <c r="H284" s="36"/>
      <c r="I284" s="9" t="s">
        <v>1115</v>
      </c>
      <c r="J284" s="9" t="s">
        <v>43</v>
      </c>
      <c r="K284" s="9" t="s">
        <v>226</v>
      </c>
      <c r="L284" s="9" t="s">
        <v>225</v>
      </c>
      <c r="M284" s="9" t="s">
        <v>225</v>
      </c>
      <c r="N284" s="9"/>
      <c r="O284" s="22" t="s">
        <v>1115</v>
      </c>
      <c r="P284" s="23" t="s">
        <v>43</v>
      </c>
      <c r="Q284" s="23" t="s">
        <v>226</v>
      </c>
      <c r="R284" s="23" t="s">
        <v>225</v>
      </c>
      <c r="S284" s="24" t="s">
        <v>225</v>
      </c>
    </row>
    <row r="285" spans="1:19" ht="15.75" hidden="1" customHeight="1" x14ac:dyDescent="0.2">
      <c r="A285" s="9"/>
      <c r="B285" s="10"/>
      <c r="C285" s="9"/>
      <c r="D285" s="9"/>
      <c r="E285" s="33" t="s">
        <v>1116</v>
      </c>
      <c r="F285" s="34" t="s">
        <v>495</v>
      </c>
      <c r="G285" s="35" t="s">
        <v>223</v>
      </c>
      <c r="H285" s="36"/>
      <c r="I285" s="9" t="s">
        <v>1117</v>
      </c>
      <c r="J285" s="9" t="s">
        <v>43</v>
      </c>
      <c r="K285" s="9" t="s">
        <v>226</v>
      </c>
      <c r="L285" s="9" t="s">
        <v>225</v>
      </c>
      <c r="M285" s="9" t="s">
        <v>225</v>
      </c>
      <c r="N285" s="9"/>
      <c r="O285" s="22" t="s">
        <v>1117</v>
      </c>
      <c r="P285" s="23" t="s">
        <v>43</v>
      </c>
      <c r="Q285" s="23" t="s">
        <v>226</v>
      </c>
      <c r="R285" s="23" t="s">
        <v>225</v>
      </c>
      <c r="S285" s="24" t="s">
        <v>225</v>
      </c>
    </row>
    <row r="286" spans="1:19" ht="15.75" hidden="1" customHeight="1" x14ac:dyDescent="0.2">
      <c r="A286" s="9"/>
      <c r="B286" s="10"/>
      <c r="C286" s="9"/>
      <c r="D286" s="9"/>
      <c r="E286" s="14" t="s">
        <v>1118</v>
      </c>
      <c r="F286" s="15" t="s">
        <v>1119</v>
      </c>
      <c r="G286" s="16" t="s">
        <v>1120</v>
      </c>
      <c r="H286" s="37"/>
      <c r="I286" s="9" t="s">
        <v>1121</v>
      </c>
      <c r="J286" s="9" t="s">
        <v>43</v>
      </c>
      <c r="K286" s="9" t="s">
        <v>226</v>
      </c>
      <c r="L286" s="9" t="s">
        <v>225</v>
      </c>
      <c r="M286" s="9" t="s">
        <v>225</v>
      </c>
      <c r="N286" s="9"/>
      <c r="O286" s="22" t="s">
        <v>1121</v>
      </c>
      <c r="P286" s="23" t="s">
        <v>43</v>
      </c>
      <c r="Q286" s="23" t="s">
        <v>226</v>
      </c>
      <c r="R286" s="23" t="s">
        <v>225</v>
      </c>
      <c r="S286" s="24" t="s">
        <v>225</v>
      </c>
    </row>
    <row r="287" spans="1:19" ht="15.75" hidden="1" customHeight="1" x14ac:dyDescent="0.2">
      <c r="A287" s="9"/>
      <c r="B287" s="10"/>
      <c r="C287" s="9"/>
      <c r="D287" s="9"/>
      <c r="E287" s="14" t="s">
        <v>1122</v>
      </c>
      <c r="F287" s="15" t="s">
        <v>1123</v>
      </c>
      <c r="G287" s="16" t="s">
        <v>1120</v>
      </c>
      <c r="H287" s="37"/>
      <c r="I287" s="9" t="s">
        <v>1124</v>
      </c>
      <c r="J287" s="9" t="s">
        <v>43</v>
      </c>
      <c r="K287" s="9" t="s">
        <v>226</v>
      </c>
      <c r="L287" s="9" t="s">
        <v>225</v>
      </c>
      <c r="M287" s="9" t="s">
        <v>225</v>
      </c>
      <c r="N287" s="9"/>
      <c r="O287" s="22" t="s">
        <v>1124</v>
      </c>
      <c r="P287" s="23" t="s">
        <v>43</v>
      </c>
      <c r="Q287" s="23" t="s">
        <v>226</v>
      </c>
      <c r="R287" s="23" t="s">
        <v>225</v>
      </c>
      <c r="S287" s="24" t="s">
        <v>225</v>
      </c>
    </row>
    <row r="288" spans="1:19" ht="15.75" hidden="1" customHeight="1" x14ac:dyDescent="0.2">
      <c r="A288" s="9"/>
      <c r="B288" s="10"/>
      <c r="C288" s="9"/>
      <c r="D288" s="9"/>
      <c r="E288" s="14" t="s">
        <v>1125</v>
      </c>
      <c r="F288" s="15" t="s">
        <v>1126</v>
      </c>
      <c r="G288" s="16" t="s">
        <v>1120</v>
      </c>
      <c r="H288" s="37"/>
      <c r="I288" s="9" t="s">
        <v>1127</v>
      </c>
      <c r="J288" s="9" t="s">
        <v>43</v>
      </c>
      <c r="K288" s="9" t="s">
        <v>226</v>
      </c>
      <c r="L288" s="9" t="s">
        <v>225</v>
      </c>
      <c r="M288" s="9" t="s">
        <v>225</v>
      </c>
      <c r="N288" s="9"/>
      <c r="O288" s="22" t="s">
        <v>1127</v>
      </c>
      <c r="P288" s="23" t="s">
        <v>43</v>
      </c>
      <c r="Q288" s="23" t="s">
        <v>226</v>
      </c>
      <c r="R288" s="23" t="s">
        <v>225</v>
      </c>
      <c r="S288" s="24" t="s">
        <v>225</v>
      </c>
    </row>
    <row r="289" spans="1:19" ht="15.75" hidden="1" customHeight="1" x14ac:dyDescent="0.2">
      <c r="A289" s="9"/>
      <c r="B289" s="10"/>
      <c r="C289" s="9"/>
      <c r="D289" s="9"/>
      <c r="E289" s="14" t="s">
        <v>1128</v>
      </c>
      <c r="F289" s="15" t="s">
        <v>1129</v>
      </c>
      <c r="G289" s="16" t="s">
        <v>1120</v>
      </c>
      <c r="H289" s="37"/>
      <c r="I289" s="9" t="s">
        <v>1130</v>
      </c>
      <c r="J289" s="9" t="s">
        <v>43</v>
      </c>
      <c r="K289" s="9" t="s">
        <v>226</v>
      </c>
      <c r="L289" s="9" t="s">
        <v>225</v>
      </c>
      <c r="M289" s="9" t="s">
        <v>225</v>
      </c>
      <c r="N289" s="9"/>
      <c r="O289" s="22" t="s">
        <v>1130</v>
      </c>
      <c r="P289" s="23" t="s">
        <v>43</v>
      </c>
      <c r="Q289" s="23" t="s">
        <v>226</v>
      </c>
      <c r="R289" s="23" t="s">
        <v>225</v>
      </c>
      <c r="S289" s="24" t="s">
        <v>225</v>
      </c>
    </row>
    <row r="290" spans="1:19" ht="15.75" hidden="1" customHeight="1" x14ac:dyDescent="0.2">
      <c r="A290" s="9"/>
      <c r="B290" s="10"/>
      <c r="C290" s="9"/>
      <c r="D290" s="9"/>
      <c r="E290" s="14" t="s">
        <v>1131</v>
      </c>
      <c r="F290" s="15" t="s">
        <v>1132</v>
      </c>
      <c r="G290" s="16" t="s">
        <v>1120</v>
      </c>
      <c r="H290" s="37"/>
      <c r="I290" s="9" t="s">
        <v>1133</v>
      </c>
      <c r="J290" s="9" t="s">
        <v>43</v>
      </c>
      <c r="K290" s="9" t="s">
        <v>226</v>
      </c>
      <c r="L290" s="9" t="s">
        <v>225</v>
      </c>
      <c r="M290" s="9" t="s">
        <v>225</v>
      </c>
      <c r="N290" s="9"/>
      <c r="O290" s="22" t="s">
        <v>1133</v>
      </c>
      <c r="P290" s="23" t="s">
        <v>43</v>
      </c>
      <c r="Q290" s="23" t="s">
        <v>226</v>
      </c>
      <c r="R290" s="23" t="s">
        <v>225</v>
      </c>
      <c r="S290" s="24" t="s">
        <v>225</v>
      </c>
    </row>
    <row r="291" spans="1:19" ht="15.75" hidden="1" customHeight="1" x14ac:dyDescent="0.2">
      <c r="A291" s="9"/>
      <c r="B291" s="10"/>
      <c r="C291" s="9"/>
      <c r="D291" s="9"/>
      <c r="E291" s="14" t="s">
        <v>1134</v>
      </c>
      <c r="F291" s="15" t="s">
        <v>1135</v>
      </c>
      <c r="G291" s="16" t="s">
        <v>1120</v>
      </c>
      <c r="H291" s="37"/>
      <c r="I291" s="9" t="s">
        <v>1136</v>
      </c>
      <c r="J291" s="9" t="s">
        <v>43</v>
      </c>
      <c r="K291" s="9" t="s">
        <v>226</v>
      </c>
      <c r="L291" s="9" t="s">
        <v>225</v>
      </c>
      <c r="M291" s="9" t="s">
        <v>225</v>
      </c>
      <c r="N291" s="9"/>
      <c r="O291" s="22" t="s">
        <v>1136</v>
      </c>
      <c r="P291" s="23" t="s">
        <v>43</v>
      </c>
      <c r="Q291" s="23" t="s">
        <v>226</v>
      </c>
      <c r="R291" s="23" t="s">
        <v>225</v>
      </c>
      <c r="S291" s="24" t="s">
        <v>225</v>
      </c>
    </row>
    <row r="292" spans="1:19" ht="15.75" hidden="1" customHeight="1" x14ac:dyDescent="0.2">
      <c r="A292" s="9"/>
      <c r="B292" s="10"/>
      <c r="C292" s="9"/>
      <c r="D292" s="9"/>
      <c r="E292" s="14" t="s">
        <v>1137</v>
      </c>
      <c r="F292" s="15" t="s">
        <v>1138</v>
      </c>
      <c r="G292" s="16" t="s">
        <v>1120</v>
      </c>
      <c r="H292" s="37"/>
      <c r="I292" s="9" t="s">
        <v>1139</v>
      </c>
      <c r="J292" s="9" t="s">
        <v>43</v>
      </c>
      <c r="K292" s="9" t="s">
        <v>226</v>
      </c>
      <c r="L292" s="9" t="s">
        <v>225</v>
      </c>
      <c r="M292" s="9" t="s">
        <v>225</v>
      </c>
      <c r="N292" s="9"/>
      <c r="O292" s="22" t="s">
        <v>1139</v>
      </c>
      <c r="P292" s="23" t="s">
        <v>43</v>
      </c>
      <c r="Q292" s="23" t="s">
        <v>226</v>
      </c>
      <c r="R292" s="23" t="s">
        <v>225</v>
      </c>
      <c r="S292" s="24" t="s">
        <v>225</v>
      </c>
    </row>
    <row r="293" spans="1:19" ht="15.75" hidden="1" customHeight="1" x14ac:dyDescent="0.2">
      <c r="A293" s="9"/>
      <c r="B293" s="10"/>
      <c r="C293" s="9"/>
      <c r="D293" s="9"/>
      <c r="E293" s="14" t="s">
        <v>1140</v>
      </c>
      <c r="F293" s="15" t="s">
        <v>1141</v>
      </c>
      <c r="G293" s="16" t="s">
        <v>1120</v>
      </c>
      <c r="H293" s="37"/>
      <c r="I293" s="9" t="s">
        <v>1142</v>
      </c>
      <c r="J293" s="9" t="s">
        <v>43</v>
      </c>
      <c r="K293" s="9" t="s">
        <v>226</v>
      </c>
      <c r="L293" s="9" t="s">
        <v>225</v>
      </c>
      <c r="M293" s="9" t="s">
        <v>225</v>
      </c>
      <c r="N293" s="9"/>
      <c r="O293" s="22" t="s">
        <v>1142</v>
      </c>
      <c r="P293" s="23" t="s">
        <v>43</v>
      </c>
      <c r="Q293" s="23" t="s">
        <v>226</v>
      </c>
      <c r="R293" s="23" t="s">
        <v>225</v>
      </c>
      <c r="S293" s="24" t="s">
        <v>225</v>
      </c>
    </row>
    <row r="294" spans="1:19" ht="15.75" hidden="1" customHeight="1" x14ac:dyDescent="0.2">
      <c r="A294" s="9"/>
      <c r="B294" s="10"/>
      <c r="C294" s="9"/>
      <c r="D294" s="9"/>
      <c r="E294" s="14" t="s">
        <v>1143</v>
      </c>
      <c r="F294" s="15" t="s">
        <v>1144</v>
      </c>
      <c r="G294" s="16" t="s">
        <v>1145</v>
      </c>
      <c r="H294" s="37"/>
      <c r="I294" s="9" t="s">
        <v>1146</v>
      </c>
      <c r="J294" s="9" t="s">
        <v>43</v>
      </c>
      <c r="K294" s="9" t="s">
        <v>225</v>
      </c>
      <c r="L294" s="9" t="s">
        <v>225</v>
      </c>
      <c r="M294" s="9" t="s">
        <v>225</v>
      </c>
      <c r="N294" s="9"/>
      <c r="O294" s="22" t="s">
        <v>1146</v>
      </c>
      <c r="P294" s="23" t="s">
        <v>43</v>
      </c>
      <c r="Q294" s="23" t="s">
        <v>225</v>
      </c>
      <c r="R294" s="23" t="s">
        <v>225</v>
      </c>
      <c r="S294" s="24" t="s">
        <v>225</v>
      </c>
    </row>
    <row r="295" spans="1:19" ht="15.75" hidden="1" customHeight="1" x14ac:dyDescent="0.2">
      <c r="A295" s="9"/>
      <c r="B295" s="10"/>
      <c r="C295" s="9"/>
      <c r="D295" s="9"/>
      <c r="E295" s="14" t="s">
        <v>1147</v>
      </c>
      <c r="F295" s="15" t="s">
        <v>1148</v>
      </c>
      <c r="G295" s="16" t="s">
        <v>828</v>
      </c>
      <c r="H295" s="37"/>
      <c r="I295" s="9" t="s">
        <v>1149</v>
      </c>
      <c r="J295" s="9" t="s">
        <v>43</v>
      </c>
      <c r="K295" s="9" t="s">
        <v>226</v>
      </c>
      <c r="L295" s="9" t="s">
        <v>225</v>
      </c>
      <c r="M295" s="9" t="s">
        <v>225</v>
      </c>
      <c r="N295" s="9"/>
      <c r="O295" s="22" t="s">
        <v>1149</v>
      </c>
      <c r="P295" s="23" t="s">
        <v>43</v>
      </c>
      <c r="Q295" s="23" t="s">
        <v>226</v>
      </c>
      <c r="R295" s="23" t="s">
        <v>225</v>
      </c>
      <c r="S295" s="24" t="s">
        <v>225</v>
      </c>
    </row>
    <row r="296" spans="1:19" ht="15.75" hidden="1" customHeight="1" x14ac:dyDescent="0.2">
      <c r="A296" s="9"/>
      <c r="B296" s="10"/>
      <c r="C296" s="9"/>
      <c r="D296" s="9"/>
      <c r="E296" s="14" t="s">
        <v>1150</v>
      </c>
      <c r="F296" s="15" t="s">
        <v>1151</v>
      </c>
      <c r="G296" s="16" t="s">
        <v>223</v>
      </c>
      <c r="H296" s="37"/>
      <c r="I296" s="9" t="s">
        <v>1152</v>
      </c>
      <c r="J296" s="9" t="s">
        <v>43</v>
      </c>
      <c r="K296" s="9" t="s">
        <v>226</v>
      </c>
      <c r="L296" s="9" t="s">
        <v>225</v>
      </c>
      <c r="M296" s="9" t="s">
        <v>225</v>
      </c>
      <c r="N296" s="9"/>
      <c r="O296" s="22" t="s">
        <v>1152</v>
      </c>
      <c r="P296" s="23" t="s">
        <v>43</v>
      </c>
      <c r="Q296" s="23" t="s">
        <v>226</v>
      </c>
      <c r="R296" s="23" t="s">
        <v>225</v>
      </c>
      <c r="S296" s="24" t="s">
        <v>225</v>
      </c>
    </row>
    <row r="297" spans="1:19" ht="15.75" hidden="1" customHeight="1" x14ac:dyDescent="0.2">
      <c r="A297" s="9"/>
      <c r="B297" s="10"/>
      <c r="C297" s="9"/>
      <c r="D297" s="9"/>
      <c r="E297" s="14" t="s">
        <v>1153</v>
      </c>
      <c r="F297" s="15" t="s">
        <v>959</v>
      </c>
      <c r="G297" s="16" t="s">
        <v>223</v>
      </c>
      <c r="I297" s="9" t="s">
        <v>1154</v>
      </c>
      <c r="J297" s="9" t="s">
        <v>43</v>
      </c>
      <c r="K297" s="9" t="s">
        <v>226</v>
      </c>
      <c r="L297" s="9" t="s">
        <v>225</v>
      </c>
      <c r="M297" s="9" t="s">
        <v>225</v>
      </c>
      <c r="N297" s="9"/>
      <c r="O297" s="22" t="s">
        <v>1154</v>
      </c>
      <c r="P297" s="23" t="s">
        <v>43</v>
      </c>
      <c r="Q297" s="23" t="s">
        <v>226</v>
      </c>
      <c r="R297" s="23" t="s">
        <v>225</v>
      </c>
      <c r="S297" s="24" t="s">
        <v>225</v>
      </c>
    </row>
    <row r="298" spans="1:19" ht="15.75" hidden="1" customHeight="1" x14ac:dyDescent="0.2">
      <c r="A298" s="9"/>
      <c r="B298" s="10"/>
      <c r="C298" s="9"/>
      <c r="D298" s="9"/>
      <c r="E298" s="14" t="s">
        <v>1155</v>
      </c>
      <c r="F298" s="15" t="s">
        <v>230</v>
      </c>
      <c r="G298" s="16" t="s">
        <v>223</v>
      </c>
      <c r="I298" s="9" t="s">
        <v>1156</v>
      </c>
      <c r="J298" s="9" t="s">
        <v>43</v>
      </c>
      <c r="K298" s="9" t="s">
        <v>226</v>
      </c>
      <c r="L298" s="9" t="s">
        <v>225</v>
      </c>
      <c r="M298" s="9" t="s">
        <v>225</v>
      </c>
      <c r="N298" s="9"/>
      <c r="O298" s="22" t="s">
        <v>1156</v>
      </c>
      <c r="P298" s="23" t="s">
        <v>43</v>
      </c>
      <c r="Q298" s="23" t="s">
        <v>226</v>
      </c>
      <c r="R298" s="23" t="s">
        <v>225</v>
      </c>
      <c r="S298" s="24" t="s">
        <v>225</v>
      </c>
    </row>
    <row r="299" spans="1:19" ht="15.75" hidden="1" customHeight="1" x14ac:dyDescent="0.2">
      <c r="A299" s="9"/>
      <c r="B299" s="10"/>
      <c r="C299" s="9"/>
      <c r="D299" s="9"/>
      <c r="E299" s="14" t="s">
        <v>1157</v>
      </c>
      <c r="F299" s="15" t="s">
        <v>1158</v>
      </c>
      <c r="G299" s="16" t="s">
        <v>375</v>
      </c>
      <c r="H299" s="37"/>
      <c r="I299" s="9" t="s">
        <v>1159</v>
      </c>
      <c r="J299" s="9" t="s">
        <v>43</v>
      </c>
      <c r="K299" s="9" t="s">
        <v>226</v>
      </c>
      <c r="L299" s="9" t="s">
        <v>225</v>
      </c>
      <c r="M299" s="9" t="s">
        <v>225</v>
      </c>
      <c r="N299" s="9"/>
      <c r="O299" s="22" t="s">
        <v>1159</v>
      </c>
      <c r="P299" s="23" t="s">
        <v>43</v>
      </c>
      <c r="Q299" s="23" t="s">
        <v>226</v>
      </c>
      <c r="R299" s="23" t="s">
        <v>225</v>
      </c>
      <c r="S299" s="24" t="s">
        <v>225</v>
      </c>
    </row>
    <row r="300" spans="1:19" ht="15.75" hidden="1" customHeight="1" x14ac:dyDescent="0.2">
      <c r="A300" s="9"/>
      <c r="B300" s="10"/>
      <c r="C300" s="9"/>
      <c r="D300" s="9"/>
      <c r="E300" s="14" t="s">
        <v>1160</v>
      </c>
      <c r="F300" s="15" t="s">
        <v>1161</v>
      </c>
      <c r="G300" s="16" t="s">
        <v>828</v>
      </c>
      <c r="H300" s="37"/>
      <c r="I300" s="9" t="s">
        <v>1162</v>
      </c>
      <c r="J300" s="9" t="s">
        <v>43</v>
      </c>
      <c r="K300" s="9" t="s">
        <v>225</v>
      </c>
      <c r="L300" s="9" t="s">
        <v>225</v>
      </c>
      <c r="M300" s="9" t="s">
        <v>225</v>
      </c>
      <c r="N300" s="9"/>
      <c r="O300" s="22" t="s">
        <v>1162</v>
      </c>
      <c r="P300" s="23" t="s">
        <v>43</v>
      </c>
      <c r="Q300" s="23" t="s">
        <v>225</v>
      </c>
      <c r="R300" s="23" t="s">
        <v>225</v>
      </c>
      <c r="S300" s="24" t="s">
        <v>225</v>
      </c>
    </row>
    <row r="301" spans="1:19" ht="15.75" hidden="1" customHeight="1" x14ac:dyDescent="0.2">
      <c r="A301" s="9"/>
      <c r="B301" s="10"/>
      <c r="C301" s="9"/>
      <c r="D301" s="9"/>
      <c r="E301" s="14" t="s">
        <v>1163</v>
      </c>
      <c r="F301" s="15" t="s">
        <v>1164</v>
      </c>
      <c r="G301" s="16" t="s">
        <v>1120</v>
      </c>
      <c r="H301" s="37"/>
      <c r="I301" s="9" t="s">
        <v>1165</v>
      </c>
      <c r="J301" s="9" t="s">
        <v>43</v>
      </c>
      <c r="K301" s="9" t="s">
        <v>226</v>
      </c>
      <c r="L301" s="9" t="s">
        <v>225</v>
      </c>
      <c r="M301" s="9" t="s">
        <v>225</v>
      </c>
      <c r="N301" s="9"/>
      <c r="O301" s="22" t="s">
        <v>1165</v>
      </c>
      <c r="P301" s="23" t="s">
        <v>43</v>
      </c>
      <c r="Q301" s="23" t="s">
        <v>226</v>
      </c>
      <c r="R301" s="23" t="s">
        <v>225</v>
      </c>
      <c r="S301" s="24" t="s">
        <v>225</v>
      </c>
    </row>
    <row r="302" spans="1:19" ht="15.75" hidden="1" customHeight="1" x14ac:dyDescent="0.2">
      <c r="A302" s="9"/>
      <c r="B302" s="10"/>
      <c r="C302" s="9"/>
      <c r="D302" s="9"/>
      <c r="E302" s="14" t="s">
        <v>1166</v>
      </c>
      <c r="F302" s="15" t="s">
        <v>1167</v>
      </c>
      <c r="G302" s="16" t="s">
        <v>828</v>
      </c>
      <c r="H302" s="37"/>
      <c r="I302" s="9" t="s">
        <v>1168</v>
      </c>
      <c r="J302" s="9" t="s">
        <v>43</v>
      </c>
      <c r="K302" s="9" t="s">
        <v>225</v>
      </c>
      <c r="L302" s="9" t="s">
        <v>225</v>
      </c>
      <c r="M302" s="9" t="s">
        <v>225</v>
      </c>
      <c r="N302" s="9"/>
      <c r="O302" s="22" t="s">
        <v>1168</v>
      </c>
      <c r="P302" s="23" t="s">
        <v>43</v>
      </c>
      <c r="Q302" s="23" t="s">
        <v>225</v>
      </c>
      <c r="R302" s="23" t="s">
        <v>225</v>
      </c>
      <c r="S302" s="24" t="s">
        <v>225</v>
      </c>
    </row>
    <row r="303" spans="1:19" ht="15.75" hidden="1" customHeight="1" x14ac:dyDescent="0.2">
      <c r="A303" s="9"/>
      <c r="B303" s="10"/>
      <c r="C303" s="9"/>
      <c r="D303" s="9"/>
      <c r="E303" s="14" t="s">
        <v>1169</v>
      </c>
      <c r="F303" s="15" t="s">
        <v>838</v>
      </c>
      <c r="G303" s="16" t="s">
        <v>828</v>
      </c>
      <c r="H303" s="37"/>
      <c r="I303" s="9" t="s">
        <v>1170</v>
      </c>
      <c r="J303" s="9" t="s">
        <v>43</v>
      </c>
      <c r="K303" s="9" t="s">
        <v>225</v>
      </c>
      <c r="L303" s="9" t="s">
        <v>225</v>
      </c>
      <c r="M303" s="9" t="s">
        <v>225</v>
      </c>
      <c r="N303" s="9"/>
      <c r="O303" s="22" t="s">
        <v>1170</v>
      </c>
      <c r="P303" s="23" t="s">
        <v>43</v>
      </c>
      <c r="Q303" s="23" t="s">
        <v>225</v>
      </c>
      <c r="R303" s="23" t="s">
        <v>225</v>
      </c>
      <c r="S303" s="24" t="s">
        <v>225</v>
      </c>
    </row>
    <row r="304" spans="1:19" ht="15.75" hidden="1" customHeight="1" x14ac:dyDescent="0.2">
      <c r="A304" s="9"/>
      <c r="B304" s="10"/>
      <c r="C304" s="9"/>
      <c r="D304" s="9"/>
      <c r="E304" s="14" t="s">
        <v>1171</v>
      </c>
      <c r="F304" s="15" t="s">
        <v>1172</v>
      </c>
      <c r="G304" s="16" t="s">
        <v>223</v>
      </c>
      <c r="H304" s="37"/>
      <c r="I304" s="9" t="s">
        <v>1173</v>
      </c>
      <c r="J304" s="9" t="s">
        <v>43</v>
      </c>
      <c r="K304" s="9" t="s">
        <v>226</v>
      </c>
      <c r="L304" s="9" t="s">
        <v>225</v>
      </c>
      <c r="M304" s="9" t="s">
        <v>225</v>
      </c>
      <c r="N304" s="9"/>
      <c r="O304" s="22" t="s">
        <v>1173</v>
      </c>
      <c r="P304" s="23" t="s">
        <v>43</v>
      </c>
      <c r="Q304" s="23" t="s">
        <v>226</v>
      </c>
      <c r="R304" s="23" t="s">
        <v>225</v>
      </c>
      <c r="S304" s="24" t="s">
        <v>225</v>
      </c>
    </row>
    <row r="305" spans="1:19" ht="15.75" hidden="1" customHeight="1" x14ac:dyDescent="0.2">
      <c r="A305" s="9"/>
      <c r="B305" s="10"/>
      <c r="C305" s="9"/>
      <c r="D305" s="9"/>
      <c r="E305" s="14" t="s">
        <v>1174</v>
      </c>
      <c r="F305" s="15" t="s">
        <v>1175</v>
      </c>
      <c r="G305" s="16" t="s">
        <v>1176</v>
      </c>
      <c r="H305" s="37"/>
      <c r="I305" s="9" t="s">
        <v>1177</v>
      </c>
      <c r="J305" s="9" t="s">
        <v>43</v>
      </c>
      <c r="K305" s="9" t="s">
        <v>226</v>
      </c>
      <c r="L305" s="9" t="s">
        <v>225</v>
      </c>
      <c r="M305" s="9" t="s">
        <v>225</v>
      </c>
      <c r="N305" s="9"/>
      <c r="O305" s="22" t="s">
        <v>1177</v>
      </c>
      <c r="P305" s="23" t="s">
        <v>43</v>
      </c>
      <c r="Q305" s="23" t="s">
        <v>226</v>
      </c>
      <c r="R305" s="23" t="s">
        <v>225</v>
      </c>
      <c r="S305" s="24" t="s">
        <v>225</v>
      </c>
    </row>
    <row r="306" spans="1:19" ht="15.75" hidden="1" customHeight="1" x14ac:dyDescent="0.2">
      <c r="A306" s="9"/>
      <c r="B306" s="10"/>
      <c r="C306" s="9"/>
      <c r="D306" s="9"/>
      <c r="E306" s="14" t="s">
        <v>1178</v>
      </c>
      <c r="F306" s="15" t="s">
        <v>1179</v>
      </c>
      <c r="G306" s="16" t="s">
        <v>223</v>
      </c>
      <c r="H306" s="37"/>
      <c r="I306" s="9" t="s">
        <v>1180</v>
      </c>
      <c r="J306" s="9" t="s">
        <v>43</v>
      </c>
      <c r="K306" s="9" t="s">
        <v>225</v>
      </c>
      <c r="L306" s="9" t="s">
        <v>225</v>
      </c>
      <c r="M306" s="9" t="s">
        <v>226</v>
      </c>
      <c r="N306" s="9"/>
      <c r="O306" s="22" t="s">
        <v>1180</v>
      </c>
      <c r="P306" s="23" t="s">
        <v>43</v>
      </c>
      <c r="Q306" s="23" t="s">
        <v>225</v>
      </c>
      <c r="R306" s="23" t="s">
        <v>225</v>
      </c>
      <c r="S306" s="24" t="s">
        <v>226</v>
      </c>
    </row>
    <row r="307" spans="1:19" ht="15.75" hidden="1" customHeight="1" x14ac:dyDescent="0.2">
      <c r="A307" s="9"/>
      <c r="B307" s="10"/>
      <c r="C307" s="9"/>
      <c r="D307" s="9"/>
      <c r="E307" s="14" t="s">
        <v>1181</v>
      </c>
      <c r="F307" s="15" t="s">
        <v>1182</v>
      </c>
      <c r="G307" s="16" t="s">
        <v>223</v>
      </c>
      <c r="H307" s="37"/>
      <c r="I307" s="9" t="s">
        <v>1183</v>
      </c>
      <c r="J307" s="9" t="s">
        <v>43</v>
      </c>
      <c r="K307" s="9" t="s">
        <v>226</v>
      </c>
      <c r="L307" s="9" t="s">
        <v>225</v>
      </c>
      <c r="M307" s="9" t="s">
        <v>226</v>
      </c>
      <c r="N307" s="9"/>
      <c r="O307" s="22" t="s">
        <v>1183</v>
      </c>
      <c r="P307" s="23" t="s">
        <v>43</v>
      </c>
      <c r="Q307" s="23" t="s">
        <v>226</v>
      </c>
      <c r="R307" s="23" t="s">
        <v>225</v>
      </c>
      <c r="S307" s="24" t="s">
        <v>226</v>
      </c>
    </row>
    <row r="308" spans="1:19" ht="15.75" hidden="1" customHeight="1" x14ac:dyDescent="0.2">
      <c r="A308" s="9"/>
      <c r="B308" s="10"/>
      <c r="C308" s="9"/>
      <c r="D308" s="9"/>
      <c r="E308" s="14" t="s">
        <v>1184</v>
      </c>
      <c r="F308" s="15" t="s">
        <v>1185</v>
      </c>
      <c r="G308" s="16" t="s">
        <v>1120</v>
      </c>
      <c r="H308" s="37"/>
      <c r="I308" s="9" t="s">
        <v>1186</v>
      </c>
      <c r="J308" s="9" t="s">
        <v>43</v>
      </c>
      <c r="K308" s="9" t="s">
        <v>226</v>
      </c>
      <c r="L308" s="9" t="s">
        <v>225</v>
      </c>
      <c r="M308" s="9" t="s">
        <v>226</v>
      </c>
      <c r="N308" s="9"/>
      <c r="O308" s="22" t="s">
        <v>1186</v>
      </c>
      <c r="P308" s="23" t="s">
        <v>43</v>
      </c>
      <c r="Q308" s="23" t="s">
        <v>226</v>
      </c>
      <c r="R308" s="23" t="s">
        <v>225</v>
      </c>
      <c r="S308" s="24" t="s">
        <v>226</v>
      </c>
    </row>
    <row r="309" spans="1:19" ht="15.75" hidden="1" customHeight="1" x14ac:dyDescent="0.2">
      <c r="A309" s="9"/>
      <c r="B309" s="10"/>
      <c r="C309" s="9"/>
      <c r="D309" s="9"/>
      <c r="E309" s="14" t="s">
        <v>1187</v>
      </c>
      <c r="F309" s="15" t="s">
        <v>1188</v>
      </c>
      <c r="G309" s="16" t="s">
        <v>316</v>
      </c>
      <c r="H309" s="37"/>
      <c r="I309" s="9" t="s">
        <v>1189</v>
      </c>
      <c r="J309" s="9" t="s">
        <v>43</v>
      </c>
      <c r="K309" s="9" t="s">
        <v>226</v>
      </c>
      <c r="L309" s="9" t="s">
        <v>225</v>
      </c>
      <c r="M309" s="9" t="s">
        <v>226</v>
      </c>
      <c r="N309" s="9"/>
      <c r="O309" s="22" t="s">
        <v>1189</v>
      </c>
      <c r="P309" s="23" t="s">
        <v>43</v>
      </c>
      <c r="Q309" s="23" t="s">
        <v>226</v>
      </c>
      <c r="R309" s="23" t="s">
        <v>225</v>
      </c>
      <c r="S309" s="24" t="s">
        <v>226</v>
      </c>
    </row>
    <row r="310" spans="1:19" ht="15.75" hidden="1" customHeight="1" x14ac:dyDescent="0.2">
      <c r="A310" s="9"/>
      <c r="B310" s="10"/>
      <c r="C310" s="9"/>
      <c r="D310" s="9"/>
      <c r="E310" s="14" t="s">
        <v>1190</v>
      </c>
      <c r="F310" s="15" t="s">
        <v>1191</v>
      </c>
      <c r="G310" s="16" t="s">
        <v>828</v>
      </c>
      <c r="H310" s="37"/>
      <c r="I310" s="9" t="s">
        <v>1192</v>
      </c>
      <c r="J310" s="9" t="s">
        <v>43</v>
      </c>
      <c r="K310" s="9" t="s">
        <v>225</v>
      </c>
      <c r="L310" s="9" t="s">
        <v>225</v>
      </c>
      <c r="M310" s="9" t="s">
        <v>226</v>
      </c>
      <c r="N310" s="9"/>
      <c r="O310" s="22" t="s">
        <v>1192</v>
      </c>
      <c r="P310" s="23" t="s">
        <v>43</v>
      </c>
      <c r="Q310" s="23" t="s">
        <v>225</v>
      </c>
      <c r="R310" s="23" t="s">
        <v>225</v>
      </c>
      <c r="S310" s="24" t="s">
        <v>226</v>
      </c>
    </row>
    <row r="311" spans="1:19" ht="15.75" hidden="1" customHeight="1" x14ac:dyDescent="0.2">
      <c r="A311" s="9"/>
      <c r="B311" s="10"/>
      <c r="C311" s="9"/>
      <c r="D311" s="9"/>
      <c r="E311" s="14" t="s">
        <v>1193</v>
      </c>
      <c r="F311" s="15" t="s">
        <v>1194</v>
      </c>
      <c r="G311" s="16" t="s">
        <v>828</v>
      </c>
      <c r="H311" s="37"/>
      <c r="I311" s="9" t="s">
        <v>1195</v>
      </c>
      <c r="J311" s="9" t="s">
        <v>43</v>
      </c>
      <c r="K311" s="9" t="s">
        <v>226</v>
      </c>
      <c r="L311" s="9" t="s">
        <v>225</v>
      </c>
      <c r="M311" s="9" t="s">
        <v>226</v>
      </c>
      <c r="N311" s="9"/>
      <c r="O311" s="22" t="s">
        <v>1195</v>
      </c>
      <c r="P311" s="23" t="s">
        <v>43</v>
      </c>
      <c r="Q311" s="23" t="s">
        <v>226</v>
      </c>
      <c r="R311" s="23" t="s">
        <v>225</v>
      </c>
      <c r="S311" s="24" t="s">
        <v>226</v>
      </c>
    </row>
    <row r="312" spans="1:19" ht="15.75" hidden="1" customHeight="1" thickBot="1" x14ac:dyDescent="0.25">
      <c r="A312" s="9"/>
      <c r="B312" s="10"/>
      <c r="C312" s="9"/>
      <c r="D312" s="9"/>
      <c r="E312" s="38" t="s">
        <v>34</v>
      </c>
      <c r="F312" s="39"/>
      <c r="G312" s="40"/>
      <c r="H312" s="9"/>
      <c r="I312" s="9"/>
      <c r="J312" s="9"/>
      <c r="K312" s="9"/>
      <c r="L312" s="9"/>
      <c r="M312" s="9"/>
      <c r="N312" s="9"/>
      <c r="O312" s="22" t="s">
        <v>1196</v>
      </c>
      <c r="P312" s="23" t="s">
        <v>43</v>
      </c>
      <c r="Q312" s="23" t="s">
        <v>226</v>
      </c>
      <c r="R312" s="23" t="s">
        <v>225</v>
      </c>
      <c r="S312" s="24" t="s">
        <v>226</v>
      </c>
    </row>
    <row r="313" spans="1:19" ht="15.75" customHeight="1" x14ac:dyDescent="0.2">
      <c r="A313" s="9"/>
      <c r="B313" s="10"/>
      <c r="C313" s="9"/>
      <c r="D313" s="9"/>
      <c r="E313" s="9"/>
      <c r="F313" s="9"/>
      <c r="G313" s="9"/>
      <c r="H313" s="9"/>
      <c r="I313" s="9"/>
      <c r="J313" s="9"/>
      <c r="K313" s="9"/>
      <c r="L313" s="9"/>
      <c r="M313" s="9"/>
      <c r="N313" s="9"/>
      <c r="O313" s="22" t="s">
        <v>1197</v>
      </c>
      <c r="P313" s="23" t="s">
        <v>43</v>
      </c>
      <c r="Q313" s="23" t="s">
        <v>225</v>
      </c>
      <c r="R313" s="23" t="s">
        <v>225</v>
      </c>
      <c r="S313" s="24" t="s">
        <v>225</v>
      </c>
    </row>
    <row r="314" spans="1:19" ht="15.75" customHeight="1" x14ac:dyDescent="0.2">
      <c r="A314" s="9"/>
      <c r="B314" s="10"/>
      <c r="C314" s="9"/>
      <c r="D314" s="9"/>
      <c r="E314" s="9"/>
      <c r="F314" s="9"/>
      <c r="G314" s="9"/>
      <c r="H314" s="9"/>
      <c r="I314" s="9"/>
      <c r="J314" s="9"/>
      <c r="K314" s="9"/>
      <c r="L314" s="9"/>
      <c r="M314" s="9"/>
      <c r="N314" s="9"/>
      <c r="O314" s="22" t="s">
        <v>1198</v>
      </c>
      <c r="P314" s="23" t="s">
        <v>43</v>
      </c>
      <c r="Q314" s="23" t="s">
        <v>226</v>
      </c>
      <c r="R314" s="23" t="s">
        <v>225</v>
      </c>
      <c r="S314" s="24" t="s">
        <v>225</v>
      </c>
    </row>
    <row r="315" spans="1:19" ht="15.75" customHeight="1" x14ac:dyDescent="0.2">
      <c r="A315" s="9"/>
      <c r="B315" s="10"/>
      <c r="C315" s="9"/>
      <c r="D315" s="9"/>
      <c r="E315" s="9"/>
      <c r="F315" s="9"/>
      <c r="G315" s="9"/>
      <c r="H315" s="9"/>
      <c r="I315" s="9"/>
      <c r="J315" s="9"/>
      <c r="K315" s="9"/>
      <c r="L315" s="9"/>
      <c r="M315" s="9"/>
      <c r="O315" s="22" t="s">
        <v>1199</v>
      </c>
      <c r="P315" s="23" t="s">
        <v>43</v>
      </c>
      <c r="Q315" s="23" t="s">
        <v>226</v>
      </c>
      <c r="R315" s="23" t="s">
        <v>225</v>
      </c>
      <c r="S315" s="24" t="s">
        <v>225</v>
      </c>
    </row>
    <row r="316" spans="1:19" ht="15.75" customHeight="1" x14ac:dyDescent="0.2">
      <c r="A316" s="9"/>
      <c r="B316" s="10"/>
      <c r="C316" s="9"/>
      <c r="D316" s="9"/>
      <c r="E316" s="9"/>
      <c r="F316" s="9"/>
      <c r="G316" s="9"/>
      <c r="H316" s="9"/>
      <c r="I316" s="9"/>
      <c r="J316" s="9"/>
      <c r="K316" s="9"/>
      <c r="L316" s="9"/>
      <c r="M316" s="9"/>
      <c r="O316" s="22" t="s">
        <v>1200</v>
      </c>
      <c r="P316" s="23" t="s">
        <v>43</v>
      </c>
      <c r="Q316" s="23" t="s">
        <v>225</v>
      </c>
      <c r="R316" s="23" t="s">
        <v>225</v>
      </c>
      <c r="S316" s="24" t="s">
        <v>225</v>
      </c>
    </row>
    <row r="317" spans="1:19" ht="15.75" customHeight="1" x14ac:dyDescent="0.2">
      <c r="A317" s="9"/>
      <c r="B317" s="10"/>
      <c r="C317" s="9"/>
      <c r="D317" s="9"/>
      <c r="E317" s="9"/>
      <c r="F317" s="9"/>
      <c r="G317" s="9"/>
      <c r="H317" s="9"/>
      <c r="I317" s="9" t="s">
        <v>1201</v>
      </c>
      <c r="J317" s="9" t="s">
        <v>43</v>
      </c>
      <c r="K317" s="9" t="s">
        <v>226</v>
      </c>
      <c r="L317" s="9" t="s">
        <v>225</v>
      </c>
      <c r="M317" s="9" t="s">
        <v>225</v>
      </c>
      <c r="O317" s="22" t="s">
        <v>1201</v>
      </c>
      <c r="P317" s="23" t="s">
        <v>43</v>
      </c>
      <c r="Q317" s="23" t="s">
        <v>226</v>
      </c>
      <c r="R317" s="23" t="s">
        <v>225</v>
      </c>
      <c r="S317" s="24" t="s">
        <v>225</v>
      </c>
    </row>
    <row r="318" spans="1:19" ht="15.75" customHeight="1" x14ac:dyDescent="0.2">
      <c r="A318" s="9"/>
      <c r="B318" s="10"/>
      <c r="C318" s="9"/>
      <c r="D318" s="9"/>
      <c r="E318" s="9"/>
      <c r="F318" s="9"/>
      <c r="G318" s="9"/>
      <c r="H318" s="9"/>
      <c r="I318" s="9" t="s">
        <v>1202</v>
      </c>
      <c r="J318" s="9" t="s">
        <v>43</v>
      </c>
      <c r="K318" s="9" t="s">
        <v>226</v>
      </c>
      <c r="L318" s="9" t="s">
        <v>225</v>
      </c>
      <c r="M318" s="9" t="s">
        <v>225</v>
      </c>
      <c r="N318" s="9"/>
      <c r="O318" s="22" t="s">
        <v>1202</v>
      </c>
      <c r="P318" s="23" t="s">
        <v>43</v>
      </c>
      <c r="Q318" s="23" t="s">
        <v>226</v>
      </c>
      <c r="R318" s="23" t="s">
        <v>225</v>
      </c>
      <c r="S318" s="24" t="s">
        <v>225</v>
      </c>
    </row>
    <row r="319" spans="1:19" ht="15.75" customHeight="1" x14ac:dyDescent="0.2">
      <c r="A319" s="9"/>
      <c r="B319" s="10"/>
      <c r="C319" s="138"/>
      <c r="D319" s="9"/>
      <c r="E319" s="9"/>
      <c r="F319" s="9"/>
      <c r="G319" s="9"/>
      <c r="H319" s="9"/>
      <c r="I319" s="9" t="s">
        <v>1203</v>
      </c>
      <c r="J319" s="9" t="s">
        <v>43</v>
      </c>
      <c r="K319" s="9" t="s">
        <v>226</v>
      </c>
      <c r="L319" s="9" t="s">
        <v>225</v>
      </c>
      <c r="M319" s="9" t="s">
        <v>225</v>
      </c>
      <c r="N319" s="9"/>
      <c r="O319" s="22" t="s">
        <v>1203</v>
      </c>
      <c r="P319" s="23" t="s">
        <v>43</v>
      </c>
      <c r="Q319" s="23" t="s">
        <v>226</v>
      </c>
      <c r="R319" s="23" t="s">
        <v>225</v>
      </c>
      <c r="S319" s="24" t="s">
        <v>225</v>
      </c>
    </row>
    <row r="320" spans="1:19" ht="15.75" customHeight="1" x14ac:dyDescent="0.2">
      <c r="A320" s="9"/>
      <c r="B320" s="10"/>
      <c r="C320" s="9"/>
      <c r="D320" s="9"/>
      <c r="E320" s="9"/>
      <c r="F320" s="9"/>
      <c r="G320" s="9"/>
      <c r="H320" s="9"/>
      <c r="I320" s="9" t="s">
        <v>1204</v>
      </c>
      <c r="J320" s="9" t="s">
        <v>43</v>
      </c>
      <c r="K320" s="9" t="s">
        <v>226</v>
      </c>
      <c r="L320" s="9" t="s">
        <v>225</v>
      </c>
      <c r="M320" s="9" t="s">
        <v>225</v>
      </c>
      <c r="N320" s="9"/>
      <c r="O320" s="22" t="s">
        <v>1204</v>
      </c>
      <c r="P320" s="23" t="s">
        <v>43</v>
      </c>
      <c r="Q320" s="23" t="s">
        <v>226</v>
      </c>
      <c r="R320" s="23" t="s">
        <v>225</v>
      </c>
      <c r="S320" s="24" t="s">
        <v>225</v>
      </c>
    </row>
    <row r="321" spans="1:19" ht="15.75" customHeight="1" x14ac:dyDescent="0.2">
      <c r="A321" s="9"/>
      <c r="B321" s="10"/>
      <c r="C321" s="9"/>
      <c r="D321" s="9"/>
      <c r="E321" s="9"/>
      <c r="F321" s="9"/>
      <c r="G321" s="9"/>
      <c r="H321" s="9"/>
      <c r="I321" s="9" t="s">
        <v>1205</v>
      </c>
      <c r="J321" s="9" t="s">
        <v>43</v>
      </c>
      <c r="K321" s="9" t="s">
        <v>225</v>
      </c>
      <c r="L321" s="9" t="s">
        <v>225</v>
      </c>
      <c r="M321" s="9" t="s">
        <v>225</v>
      </c>
      <c r="O321" s="22" t="s">
        <v>1205</v>
      </c>
      <c r="P321" s="23" t="s">
        <v>43</v>
      </c>
      <c r="Q321" s="23" t="s">
        <v>225</v>
      </c>
      <c r="R321" s="23" t="s">
        <v>225</v>
      </c>
      <c r="S321" s="24" t="s">
        <v>225</v>
      </c>
    </row>
    <row r="322" spans="1:19" ht="15.75" customHeight="1" x14ac:dyDescent="0.2">
      <c r="A322" s="9"/>
      <c r="B322" s="10"/>
      <c r="C322" s="9"/>
      <c r="D322" s="9"/>
      <c r="E322" s="9"/>
      <c r="F322" s="9"/>
      <c r="G322" s="9"/>
      <c r="H322" s="9"/>
      <c r="I322" s="9" t="s">
        <v>1206</v>
      </c>
      <c r="J322" s="9" t="s">
        <v>43</v>
      </c>
      <c r="K322" s="9" t="s">
        <v>226</v>
      </c>
      <c r="L322" s="9" t="s">
        <v>225</v>
      </c>
      <c r="M322" s="9" t="s">
        <v>225</v>
      </c>
      <c r="O322" s="22" t="s">
        <v>1206</v>
      </c>
      <c r="P322" s="23" t="s">
        <v>43</v>
      </c>
      <c r="Q322" s="23" t="s">
        <v>226</v>
      </c>
      <c r="R322" s="23" t="s">
        <v>225</v>
      </c>
      <c r="S322" s="24" t="s">
        <v>225</v>
      </c>
    </row>
    <row r="323" spans="1:19" ht="15.75" customHeight="1" x14ac:dyDescent="0.2">
      <c r="A323" s="9"/>
      <c r="B323" s="10"/>
      <c r="C323" s="9"/>
      <c r="D323" s="9"/>
      <c r="E323" s="9"/>
      <c r="F323" s="9"/>
      <c r="G323" s="9"/>
      <c r="H323" s="9"/>
      <c r="I323" s="9" t="s">
        <v>1207</v>
      </c>
      <c r="J323" s="9" t="s">
        <v>43</v>
      </c>
      <c r="K323" s="9" t="s">
        <v>226</v>
      </c>
      <c r="L323" s="9" t="s">
        <v>225</v>
      </c>
      <c r="M323" s="9" t="s">
        <v>225</v>
      </c>
      <c r="O323" s="22" t="s">
        <v>1207</v>
      </c>
      <c r="P323" s="23" t="s">
        <v>43</v>
      </c>
      <c r="Q323" s="23" t="s">
        <v>226</v>
      </c>
      <c r="R323" s="23" t="s">
        <v>225</v>
      </c>
      <c r="S323" s="24" t="s">
        <v>225</v>
      </c>
    </row>
    <row r="324" spans="1:19" ht="15.75" customHeight="1" x14ac:dyDescent="0.2">
      <c r="A324" s="9"/>
      <c r="B324" s="10"/>
      <c r="C324" s="9"/>
      <c r="D324" s="9"/>
      <c r="E324" s="9"/>
      <c r="F324" s="9"/>
      <c r="G324" s="9"/>
      <c r="H324" s="9"/>
      <c r="I324" s="9" t="s">
        <v>1208</v>
      </c>
      <c r="J324" s="9" t="s">
        <v>43</v>
      </c>
      <c r="K324" s="9" t="s">
        <v>225</v>
      </c>
      <c r="L324" s="9" t="s">
        <v>225</v>
      </c>
      <c r="M324" s="9" t="s">
        <v>226</v>
      </c>
      <c r="O324" s="22" t="s">
        <v>1208</v>
      </c>
      <c r="P324" s="23" t="s">
        <v>43</v>
      </c>
      <c r="Q324" s="23" t="s">
        <v>225</v>
      </c>
      <c r="R324" s="23" t="s">
        <v>225</v>
      </c>
      <c r="S324" s="24" t="s">
        <v>226</v>
      </c>
    </row>
    <row r="325" spans="1:19" ht="15.75" customHeight="1" x14ac:dyDescent="0.2">
      <c r="A325" s="9"/>
      <c r="B325" s="10"/>
      <c r="C325" s="9"/>
      <c r="D325" s="9"/>
      <c r="E325" s="9"/>
      <c r="F325" s="9"/>
      <c r="G325" s="9"/>
      <c r="H325" s="9"/>
      <c r="I325" s="9" t="s">
        <v>1209</v>
      </c>
      <c r="J325" s="9" t="s">
        <v>43</v>
      </c>
      <c r="K325" s="9" t="s">
        <v>226</v>
      </c>
      <c r="L325" s="9" t="s">
        <v>225</v>
      </c>
      <c r="M325" s="9" t="s">
        <v>226</v>
      </c>
      <c r="O325" s="22" t="s">
        <v>1209</v>
      </c>
      <c r="P325" s="23" t="s">
        <v>43</v>
      </c>
      <c r="Q325" s="23" t="s">
        <v>226</v>
      </c>
      <c r="R325" s="23" t="s">
        <v>225</v>
      </c>
      <c r="S325" s="24" t="s">
        <v>226</v>
      </c>
    </row>
    <row r="326" spans="1:19" ht="15.75" customHeight="1" x14ac:dyDescent="0.2">
      <c r="A326" s="9"/>
      <c r="B326" s="10"/>
      <c r="C326" s="9"/>
      <c r="D326" s="9"/>
      <c r="E326" s="9"/>
      <c r="F326" s="9"/>
      <c r="G326" s="9"/>
      <c r="H326" s="9"/>
      <c r="I326" s="9" t="s">
        <v>1210</v>
      </c>
      <c r="J326" s="9" t="s">
        <v>43</v>
      </c>
      <c r="K326" s="9" t="s">
        <v>226</v>
      </c>
      <c r="L326" s="9" t="s">
        <v>225</v>
      </c>
      <c r="M326" s="9" t="s">
        <v>226</v>
      </c>
      <c r="O326" s="22" t="s">
        <v>1210</v>
      </c>
      <c r="P326" s="23" t="s">
        <v>43</v>
      </c>
      <c r="Q326" s="23" t="s">
        <v>226</v>
      </c>
      <c r="R326" s="23" t="s">
        <v>225</v>
      </c>
      <c r="S326" s="24" t="s">
        <v>226</v>
      </c>
    </row>
    <row r="327" spans="1:19" ht="15.75" customHeight="1" x14ac:dyDescent="0.2">
      <c r="A327" s="9"/>
      <c r="B327" s="10"/>
      <c r="C327" s="9"/>
      <c r="D327" s="9"/>
      <c r="E327" s="9"/>
      <c r="F327" s="9"/>
      <c r="G327" s="9"/>
      <c r="H327" s="9"/>
      <c r="I327" s="9" t="s">
        <v>1211</v>
      </c>
      <c r="J327" s="9" t="s">
        <v>43</v>
      </c>
      <c r="K327" s="9" t="s">
        <v>226</v>
      </c>
      <c r="L327" s="9" t="s">
        <v>225</v>
      </c>
      <c r="M327" s="9" t="s">
        <v>226</v>
      </c>
      <c r="O327" s="22" t="s">
        <v>1211</v>
      </c>
      <c r="P327" s="23" t="s">
        <v>43</v>
      </c>
      <c r="Q327" s="23" t="s">
        <v>226</v>
      </c>
      <c r="R327" s="23" t="s">
        <v>225</v>
      </c>
      <c r="S327" s="24" t="s">
        <v>226</v>
      </c>
    </row>
    <row r="328" spans="1:19" ht="15.75" customHeight="1" x14ac:dyDescent="0.2">
      <c r="A328" s="9"/>
      <c r="B328" s="10"/>
      <c r="C328" s="9"/>
      <c r="D328" s="9"/>
      <c r="E328" s="9"/>
      <c r="F328" s="9"/>
      <c r="G328" s="9"/>
      <c r="H328" s="9"/>
      <c r="I328" s="9" t="s">
        <v>1212</v>
      </c>
      <c r="J328" s="9" t="s">
        <v>43</v>
      </c>
      <c r="K328" s="9" t="s">
        <v>226</v>
      </c>
      <c r="L328" s="9" t="s">
        <v>225</v>
      </c>
      <c r="M328" s="9" t="s">
        <v>226</v>
      </c>
      <c r="O328" s="22" t="s">
        <v>1212</v>
      </c>
      <c r="P328" s="23" t="s">
        <v>43</v>
      </c>
      <c r="Q328" s="23" t="s">
        <v>226</v>
      </c>
      <c r="R328" s="23" t="s">
        <v>225</v>
      </c>
      <c r="S328" s="24" t="s">
        <v>226</v>
      </c>
    </row>
    <row r="329" spans="1:19" ht="15.75" customHeight="1" x14ac:dyDescent="0.2">
      <c r="A329" s="9"/>
      <c r="B329" s="10"/>
      <c r="C329" s="9"/>
      <c r="D329" s="9"/>
      <c r="E329" s="9"/>
      <c r="F329" s="9"/>
      <c r="G329" s="9"/>
      <c r="H329" s="9"/>
      <c r="I329" s="9" t="s">
        <v>1213</v>
      </c>
      <c r="J329" s="9" t="s">
        <v>33</v>
      </c>
      <c r="K329" s="9" t="s">
        <v>226</v>
      </c>
      <c r="L329" s="9" t="s">
        <v>225</v>
      </c>
      <c r="M329" s="9" t="s">
        <v>226</v>
      </c>
      <c r="O329" s="22" t="s">
        <v>1213</v>
      </c>
      <c r="P329" s="23" t="s">
        <v>33</v>
      </c>
      <c r="Q329" s="23" t="s">
        <v>226</v>
      </c>
      <c r="R329" s="23" t="s">
        <v>225</v>
      </c>
      <c r="S329" s="24" t="s">
        <v>226</v>
      </c>
    </row>
    <row r="330" spans="1:19" ht="15.75" customHeight="1" x14ac:dyDescent="0.2">
      <c r="A330" s="9"/>
      <c r="B330" s="10"/>
      <c r="C330" s="9"/>
      <c r="D330" s="9"/>
      <c r="E330" s="9"/>
      <c r="F330" s="9"/>
      <c r="G330" s="9"/>
      <c r="H330" s="9"/>
      <c r="I330" s="9" t="s">
        <v>1214</v>
      </c>
      <c r="J330" s="9" t="s">
        <v>43</v>
      </c>
      <c r="K330" s="9" t="s">
        <v>225</v>
      </c>
      <c r="L330" s="9" t="s">
        <v>225</v>
      </c>
      <c r="M330" s="9" t="s">
        <v>225</v>
      </c>
      <c r="O330" s="22" t="s">
        <v>1214</v>
      </c>
      <c r="P330" s="23" t="s">
        <v>43</v>
      </c>
      <c r="Q330" s="23" t="s">
        <v>225</v>
      </c>
      <c r="R330" s="23" t="s">
        <v>225</v>
      </c>
      <c r="S330" s="24" t="s">
        <v>225</v>
      </c>
    </row>
    <row r="331" spans="1:19" ht="15.75" customHeight="1" x14ac:dyDescent="0.2">
      <c r="A331" s="9"/>
      <c r="B331" s="10"/>
      <c r="C331" s="9"/>
      <c r="D331" s="9"/>
      <c r="E331" s="9"/>
      <c r="F331" s="9"/>
      <c r="G331" s="9"/>
      <c r="H331" s="9"/>
      <c r="I331" s="9" t="s">
        <v>1215</v>
      </c>
      <c r="J331" s="9" t="s">
        <v>43</v>
      </c>
      <c r="K331" s="9" t="s">
        <v>226</v>
      </c>
      <c r="L331" s="9" t="s">
        <v>225</v>
      </c>
      <c r="M331" s="9" t="s">
        <v>225</v>
      </c>
      <c r="O331" s="22" t="s">
        <v>1215</v>
      </c>
      <c r="P331" s="23" t="s">
        <v>43</v>
      </c>
      <c r="Q331" s="23" t="s">
        <v>226</v>
      </c>
      <c r="R331" s="23" t="s">
        <v>225</v>
      </c>
      <c r="S331" s="24" t="s">
        <v>225</v>
      </c>
    </row>
    <row r="332" spans="1:19" ht="15.75" customHeight="1" x14ac:dyDescent="0.2">
      <c r="A332" s="9"/>
      <c r="B332" s="10"/>
      <c r="C332" s="9"/>
      <c r="D332" s="9"/>
      <c r="E332" s="9"/>
      <c r="F332" s="9"/>
      <c r="G332" s="9"/>
      <c r="H332" s="9"/>
      <c r="I332" s="9" t="s">
        <v>1216</v>
      </c>
      <c r="J332" s="9" t="s">
        <v>43</v>
      </c>
      <c r="K332" s="9" t="s">
        <v>225</v>
      </c>
      <c r="L332" s="9" t="s">
        <v>225</v>
      </c>
      <c r="M332" s="9" t="s">
        <v>226</v>
      </c>
      <c r="O332" s="22" t="s">
        <v>1216</v>
      </c>
      <c r="P332" s="23" t="s">
        <v>43</v>
      </c>
      <c r="Q332" s="23" t="s">
        <v>225</v>
      </c>
      <c r="R332" s="23" t="s">
        <v>225</v>
      </c>
      <c r="S332" s="24" t="s">
        <v>226</v>
      </c>
    </row>
    <row r="333" spans="1:19" ht="15.75" customHeight="1" x14ac:dyDescent="0.2">
      <c r="A333" s="9"/>
      <c r="B333" s="10"/>
      <c r="C333" s="9"/>
      <c r="D333" s="9"/>
      <c r="E333" s="9"/>
      <c r="F333" s="9"/>
      <c r="G333" s="9"/>
      <c r="H333" s="9"/>
      <c r="I333" s="9" t="s">
        <v>1217</v>
      </c>
      <c r="J333" s="9" t="s">
        <v>43</v>
      </c>
      <c r="K333" s="9" t="s">
        <v>226</v>
      </c>
      <c r="L333" s="9" t="s">
        <v>225</v>
      </c>
      <c r="M333" s="9" t="s">
        <v>226</v>
      </c>
      <c r="O333" s="22" t="s">
        <v>1217</v>
      </c>
      <c r="P333" s="23" t="s">
        <v>43</v>
      </c>
      <c r="Q333" s="23" t="s">
        <v>226</v>
      </c>
      <c r="R333" s="23" t="s">
        <v>225</v>
      </c>
      <c r="S333" s="24" t="s">
        <v>226</v>
      </c>
    </row>
    <row r="334" spans="1:19" ht="15.75" customHeight="1" x14ac:dyDescent="0.2">
      <c r="A334" s="9"/>
      <c r="B334" s="10"/>
      <c r="C334" s="9"/>
      <c r="D334" s="9"/>
      <c r="E334" s="9"/>
      <c r="F334" s="9"/>
      <c r="G334" s="9"/>
      <c r="H334" s="9"/>
      <c r="I334" s="9" t="s">
        <v>1218</v>
      </c>
      <c r="J334" s="9" t="s">
        <v>43</v>
      </c>
      <c r="K334" s="9" t="s">
        <v>226</v>
      </c>
      <c r="L334" s="9" t="s">
        <v>225</v>
      </c>
      <c r="M334" s="9" t="s">
        <v>226</v>
      </c>
      <c r="O334" s="22" t="s">
        <v>1218</v>
      </c>
      <c r="P334" s="23" t="s">
        <v>43</v>
      </c>
      <c r="Q334" s="23" t="s">
        <v>226</v>
      </c>
      <c r="R334" s="23" t="s">
        <v>225</v>
      </c>
      <c r="S334" s="24" t="s">
        <v>226</v>
      </c>
    </row>
    <row r="335" spans="1:19" ht="15.75" customHeight="1" x14ac:dyDescent="0.2">
      <c r="A335" s="9"/>
      <c r="B335" s="10"/>
      <c r="C335" s="9"/>
      <c r="D335" s="9"/>
      <c r="E335" s="9"/>
      <c r="F335" s="9"/>
      <c r="G335" s="9"/>
      <c r="H335" s="9"/>
      <c r="I335" s="9" t="s">
        <v>1219</v>
      </c>
      <c r="J335" s="9" t="s">
        <v>43</v>
      </c>
      <c r="K335" s="9" t="s">
        <v>226</v>
      </c>
      <c r="L335" s="9" t="s">
        <v>225</v>
      </c>
      <c r="M335" s="9" t="s">
        <v>226</v>
      </c>
      <c r="O335" s="22" t="s">
        <v>1219</v>
      </c>
      <c r="P335" s="23" t="s">
        <v>43</v>
      </c>
      <c r="Q335" s="23" t="s">
        <v>226</v>
      </c>
      <c r="R335" s="23" t="s">
        <v>225</v>
      </c>
      <c r="S335" s="24" t="s">
        <v>226</v>
      </c>
    </row>
    <row r="336" spans="1:19" ht="15.75" customHeight="1" x14ac:dyDescent="0.2">
      <c r="A336" s="9"/>
      <c r="B336" s="10"/>
      <c r="C336" s="9"/>
      <c r="D336" s="9"/>
      <c r="E336" s="9"/>
      <c r="F336" s="9"/>
      <c r="G336" s="9"/>
      <c r="H336" s="9"/>
      <c r="I336" s="9" t="s">
        <v>1220</v>
      </c>
      <c r="J336" s="9" t="s">
        <v>43</v>
      </c>
      <c r="K336" s="9" t="s">
        <v>225</v>
      </c>
      <c r="L336" s="9" t="s">
        <v>225</v>
      </c>
      <c r="M336" s="9" t="s">
        <v>226</v>
      </c>
      <c r="O336" s="22" t="s">
        <v>1220</v>
      </c>
      <c r="P336" s="23" t="s">
        <v>43</v>
      </c>
      <c r="Q336" s="23" t="s">
        <v>225</v>
      </c>
      <c r="R336" s="23" t="s">
        <v>225</v>
      </c>
      <c r="S336" s="24" t="s">
        <v>226</v>
      </c>
    </row>
    <row r="337" spans="1:19" ht="15.75" customHeight="1" x14ac:dyDescent="0.2">
      <c r="A337" s="9"/>
      <c r="B337" s="10"/>
      <c r="C337" s="9"/>
      <c r="D337" s="9"/>
      <c r="E337" s="9"/>
      <c r="F337" s="9"/>
      <c r="G337" s="9"/>
      <c r="H337" s="9"/>
      <c r="I337" s="9" t="s">
        <v>1221</v>
      </c>
      <c r="J337" s="9" t="s">
        <v>43</v>
      </c>
      <c r="K337" s="9" t="s">
        <v>226</v>
      </c>
      <c r="L337" s="9" t="s">
        <v>225</v>
      </c>
      <c r="M337" s="9" t="s">
        <v>226</v>
      </c>
      <c r="O337" s="22" t="s">
        <v>1221</v>
      </c>
      <c r="P337" s="23" t="s">
        <v>43</v>
      </c>
      <c r="Q337" s="23" t="s">
        <v>226</v>
      </c>
      <c r="R337" s="23" t="s">
        <v>225</v>
      </c>
      <c r="S337" s="24" t="s">
        <v>226</v>
      </c>
    </row>
    <row r="338" spans="1:19" ht="15.75" customHeight="1" x14ac:dyDescent="0.2">
      <c r="A338" s="9"/>
      <c r="B338" s="10"/>
      <c r="C338" s="9"/>
      <c r="D338" s="9"/>
      <c r="E338" s="9"/>
      <c r="F338" s="9"/>
      <c r="G338" s="9"/>
      <c r="H338" s="9"/>
      <c r="I338" s="9" t="s">
        <v>1222</v>
      </c>
      <c r="J338" s="9" t="s">
        <v>43</v>
      </c>
      <c r="K338" s="9" t="s">
        <v>225</v>
      </c>
      <c r="L338" s="9" t="s">
        <v>225</v>
      </c>
      <c r="M338" s="9" t="s">
        <v>226</v>
      </c>
      <c r="O338" s="22" t="s">
        <v>1222</v>
      </c>
      <c r="P338" s="23" t="s">
        <v>43</v>
      </c>
      <c r="Q338" s="23" t="s">
        <v>225</v>
      </c>
      <c r="R338" s="23" t="s">
        <v>225</v>
      </c>
      <c r="S338" s="24" t="s">
        <v>226</v>
      </c>
    </row>
    <row r="339" spans="1:19" ht="15.75" customHeight="1" x14ac:dyDescent="0.2">
      <c r="A339" s="9"/>
      <c r="B339" s="10"/>
      <c r="C339" s="9"/>
      <c r="D339" s="9"/>
      <c r="E339" s="9"/>
      <c r="F339" s="9"/>
      <c r="G339" s="9"/>
      <c r="H339" s="9"/>
      <c r="I339" s="9" t="s">
        <v>1223</v>
      </c>
      <c r="J339" s="9" t="s">
        <v>43</v>
      </c>
      <c r="K339" s="9" t="s">
        <v>226</v>
      </c>
      <c r="L339" s="9" t="s">
        <v>225</v>
      </c>
      <c r="M339" s="9" t="s">
        <v>226</v>
      </c>
      <c r="O339" s="22" t="s">
        <v>1223</v>
      </c>
      <c r="P339" s="23" t="s">
        <v>43</v>
      </c>
      <c r="Q339" s="23" t="s">
        <v>226</v>
      </c>
      <c r="R339" s="23" t="s">
        <v>225</v>
      </c>
      <c r="S339" s="24" t="s">
        <v>226</v>
      </c>
    </row>
    <row r="340" spans="1:19" ht="15.75" customHeight="1" x14ac:dyDescent="0.2">
      <c r="A340" s="9"/>
      <c r="B340" s="10"/>
      <c r="C340" s="9"/>
      <c r="D340" s="9"/>
      <c r="E340" s="9"/>
      <c r="F340" s="9"/>
      <c r="G340" s="9"/>
      <c r="H340" s="9"/>
      <c r="I340" s="9" t="s">
        <v>1224</v>
      </c>
      <c r="J340" s="9" t="s">
        <v>43</v>
      </c>
      <c r="K340" s="9" t="s">
        <v>225</v>
      </c>
      <c r="L340" s="9" t="s">
        <v>225</v>
      </c>
      <c r="M340" s="9" t="s">
        <v>225</v>
      </c>
      <c r="O340" s="22" t="s">
        <v>1224</v>
      </c>
      <c r="P340" s="23" t="s">
        <v>43</v>
      </c>
      <c r="Q340" s="23" t="s">
        <v>225</v>
      </c>
      <c r="R340" s="23" t="s">
        <v>225</v>
      </c>
      <c r="S340" s="24" t="s">
        <v>225</v>
      </c>
    </row>
    <row r="341" spans="1:19" ht="15.75" customHeight="1" x14ac:dyDescent="0.2">
      <c r="A341" s="9"/>
      <c r="B341" s="10"/>
      <c r="C341" s="9"/>
      <c r="D341" s="9"/>
      <c r="E341" s="9"/>
      <c r="F341" s="9"/>
      <c r="G341" s="9"/>
      <c r="H341" s="9"/>
      <c r="I341" s="9" t="s">
        <v>1225</v>
      </c>
      <c r="J341" s="9" t="s">
        <v>43</v>
      </c>
      <c r="K341" s="9" t="s">
        <v>226</v>
      </c>
      <c r="L341" s="9" t="s">
        <v>225</v>
      </c>
      <c r="M341" s="9" t="s">
        <v>225</v>
      </c>
      <c r="O341" s="22" t="s">
        <v>1225</v>
      </c>
      <c r="P341" s="23" t="s">
        <v>43</v>
      </c>
      <c r="Q341" s="23" t="s">
        <v>226</v>
      </c>
      <c r="R341" s="23" t="s">
        <v>225</v>
      </c>
      <c r="S341" s="24" t="s">
        <v>225</v>
      </c>
    </row>
    <row r="342" spans="1:19" ht="15.75" customHeight="1" x14ac:dyDescent="0.2">
      <c r="A342" s="9"/>
      <c r="B342" s="10"/>
      <c r="C342" s="9"/>
      <c r="D342" s="9"/>
      <c r="E342" s="9"/>
      <c r="F342" s="9"/>
      <c r="G342" s="9"/>
      <c r="H342" s="9"/>
      <c r="I342" s="9" t="s">
        <v>1226</v>
      </c>
      <c r="J342" s="9" t="s">
        <v>43</v>
      </c>
      <c r="K342" s="9" t="s">
        <v>226</v>
      </c>
      <c r="L342" s="9" t="s">
        <v>225</v>
      </c>
      <c r="M342" s="9" t="s">
        <v>225</v>
      </c>
      <c r="O342" s="22" t="s">
        <v>1226</v>
      </c>
      <c r="P342" s="23" t="s">
        <v>43</v>
      </c>
      <c r="Q342" s="23" t="s">
        <v>226</v>
      </c>
      <c r="R342" s="23" t="s">
        <v>225</v>
      </c>
      <c r="S342" s="24" t="s">
        <v>225</v>
      </c>
    </row>
    <row r="343" spans="1:19" ht="15.75" customHeight="1" x14ac:dyDescent="0.2">
      <c r="A343" s="9"/>
      <c r="B343" s="10"/>
      <c r="C343" s="9"/>
      <c r="D343" s="9"/>
      <c r="E343" s="9"/>
      <c r="F343" s="9"/>
      <c r="G343" s="9"/>
      <c r="H343" s="9"/>
      <c r="I343" s="9" t="s">
        <v>1227</v>
      </c>
      <c r="J343" s="9" t="s">
        <v>43</v>
      </c>
      <c r="K343" s="9" t="s">
        <v>225</v>
      </c>
      <c r="L343" s="9" t="s">
        <v>225</v>
      </c>
      <c r="M343" s="9" t="s">
        <v>226</v>
      </c>
      <c r="O343" s="22" t="s">
        <v>1227</v>
      </c>
      <c r="P343" s="23" t="s">
        <v>43</v>
      </c>
      <c r="Q343" s="23" t="s">
        <v>225</v>
      </c>
      <c r="R343" s="23" t="s">
        <v>225</v>
      </c>
      <c r="S343" s="24" t="s">
        <v>226</v>
      </c>
    </row>
    <row r="344" spans="1:19" ht="15.75" customHeight="1" x14ac:dyDescent="0.2">
      <c r="A344" s="9"/>
      <c r="B344" s="10"/>
      <c r="C344" s="9"/>
      <c r="D344" s="9"/>
      <c r="E344" s="9"/>
      <c r="F344" s="9"/>
      <c r="G344" s="9"/>
      <c r="H344" s="9"/>
      <c r="I344" s="9" t="s">
        <v>1228</v>
      </c>
      <c r="J344" s="9" t="s">
        <v>43</v>
      </c>
      <c r="K344" s="9" t="s">
        <v>226</v>
      </c>
      <c r="L344" s="9" t="s">
        <v>225</v>
      </c>
      <c r="M344" s="9" t="s">
        <v>226</v>
      </c>
      <c r="O344" s="22" t="s">
        <v>1228</v>
      </c>
      <c r="P344" s="23" t="s">
        <v>43</v>
      </c>
      <c r="Q344" s="23" t="s">
        <v>226</v>
      </c>
      <c r="R344" s="23" t="s">
        <v>225</v>
      </c>
      <c r="S344" s="24" t="s">
        <v>226</v>
      </c>
    </row>
    <row r="345" spans="1:19" ht="15.75" customHeight="1" x14ac:dyDescent="0.2">
      <c r="A345" s="9"/>
      <c r="B345" s="10"/>
      <c r="C345" s="9"/>
      <c r="D345" s="9"/>
      <c r="E345" s="9"/>
      <c r="F345" s="9"/>
      <c r="G345" s="9"/>
      <c r="H345" s="9"/>
      <c r="I345" s="9" t="s">
        <v>1229</v>
      </c>
      <c r="J345" s="9" t="s">
        <v>43</v>
      </c>
      <c r="K345" s="9" t="s">
        <v>225</v>
      </c>
      <c r="L345" s="9" t="s">
        <v>225</v>
      </c>
      <c r="M345" s="9" t="s">
        <v>226</v>
      </c>
      <c r="O345" s="22" t="s">
        <v>1229</v>
      </c>
      <c r="P345" s="23" t="s">
        <v>43</v>
      </c>
      <c r="Q345" s="23" t="s">
        <v>225</v>
      </c>
      <c r="R345" s="23" t="s">
        <v>225</v>
      </c>
      <c r="S345" s="24" t="s">
        <v>226</v>
      </c>
    </row>
    <row r="346" spans="1:19" ht="15.75" customHeight="1" x14ac:dyDescent="0.2">
      <c r="A346" s="9"/>
      <c r="B346" s="10"/>
      <c r="C346" s="9"/>
      <c r="D346" s="9"/>
      <c r="E346" s="9"/>
      <c r="F346" s="9"/>
      <c r="G346" s="9"/>
      <c r="H346" s="9"/>
      <c r="I346" s="9" t="s">
        <v>1230</v>
      </c>
      <c r="J346" s="9" t="s">
        <v>43</v>
      </c>
      <c r="K346" s="9" t="s">
        <v>226</v>
      </c>
      <c r="L346" s="9" t="s">
        <v>225</v>
      </c>
      <c r="M346" s="9" t="s">
        <v>226</v>
      </c>
      <c r="O346" s="22" t="s">
        <v>1230</v>
      </c>
      <c r="P346" s="23" t="s">
        <v>43</v>
      </c>
      <c r="Q346" s="23" t="s">
        <v>226</v>
      </c>
      <c r="R346" s="23" t="s">
        <v>225</v>
      </c>
      <c r="S346" s="24" t="s">
        <v>226</v>
      </c>
    </row>
    <row r="347" spans="1:19" ht="15.75" customHeight="1" x14ac:dyDescent="0.2">
      <c r="A347" s="9"/>
      <c r="B347" s="10"/>
      <c r="C347" s="9"/>
      <c r="D347" s="9"/>
      <c r="E347" s="9"/>
      <c r="F347" s="9"/>
      <c r="G347" s="9"/>
      <c r="H347" s="9"/>
      <c r="I347" s="9" t="s">
        <v>1231</v>
      </c>
      <c r="J347" s="9" t="s">
        <v>43</v>
      </c>
      <c r="K347" s="9" t="s">
        <v>225</v>
      </c>
      <c r="L347" s="9" t="s">
        <v>225</v>
      </c>
      <c r="M347" s="9" t="s">
        <v>226</v>
      </c>
      <c r="O347" s="22" t="s">
        <v>1231</v>
      </c>
      <c r="P347" s="23" t="s">
        <v>43</v>
      </c>
      <c r="Q347" s="23" t="s">
        <v>225</v>
      </c>
      <c r="R347" s="23" t="s">
        <v>225</v>
      </c>
      <c r="S347" s="24" t="s">
        <v>226</v>
      </c>
    </row>
    <row r="348" spans="1:19" ht="15.75" customHeight="1" x14ac:dyDescent="0.2">
      <c r="A348" s="9"/>
      <c r="B348" s="10"/>
      <c r="C348" s="9"/>
      <c r="D348" s="9"/>
      <c r="E348" s="9"/>
      <c r="F348" s="9"/>
      <c r="G348" s="9"/>
      <c r="H348" s="9"/>
      <c r="I348" s="9" t="s">
        <v>1232</v>
      </c>
      <c r="J348" s="9" t="s">
        <v>43</v>
      </c>
      <c r="K348" s="9" t="s">
        <v>226</v>
      </c>
      <c r="L348" s="9" t="s">
        <v>225</v>
      </c>
      <c r="M348" s="9" t="s">
        <v>226</v>
      </c>
      <c r="O348" s="22" t="s">
        <v>1232</v>
      </c>
      <c r="P348" s="23" t="s">
        <v>43</v>
      </c>
      <c r="Q348" s="23" t="s">
        <v>226</v>
      </c>
      <c r="R348" s="23" t="s">
        <v>225</v>
      </c>
      <c r="S348" s="24" t="s">
        <v>226</v>
      </c>
    </row>
    <row r="349" spans="1:19" ht="15.75" customHeight="1" x14ac:dyDescent="0.2">
      <c r="A349" s="9"/>
      <c r="B349" s="10"/>
      <c r="C349" s="9"/>
      <c r="D349" s="9"/>
      <c r="E349" s="9"/>
      <c r="F349" s="9"/>
      <c r="G349" s="9"/>
      <c r="H349" s="9"/>
      <c r="I349" s="9" t="s">
        <v>1233</v>
      </c>
      <c r="J349" s="9" t="s">
        <v>43</v>
      </c>
      <c r="K349" s="9" t="s">
        <v>225</v>
      </c>
      <c r="L349" s="9" t="s">
        <v>225</v>
      </c>
      <c r="M349" s="9" t="s">
        <v>225</v>
      </c>
      <c r="O349" s="22" t="s">
        <v>1233</v>
      </c>
      <c r="P349" s="23" t="s">
        <v>43</v>
      </c>
      <c r="Q349" s="23" t="s">
        <v>225</v>
      </c>
      <c r="R349" s="23" t="s">
        <v>225</v>
      </c>
      <c r="S349" s="24" t="s">
        <v>225</v>
      </c>
    </row>
    <row r="350" spans="1:19" ht="15.75" customHeight="1" x14ac:dyDescent="0.2">
      <c r="A350" s="9"/>
      <c r="B350" s="10"/>
      <c r="C350" s="9"/>
      <c r="D350" s="9"/>
      <c r="E350" s="9"/>
      <c r="F350" s="9"/>
      <c r="G350" s="9"/>
      <c r="H350" s="9"/>
      <c r="I350" s="9" t="s">
        <v>1234</v>
      </c>
      <c r="J350" s="9" t="s">
        <v>43</v>
      </c>
      <c r="K350" s="9" t="s">
        <v>225</v>
      </c>
      <c r="L350" s="9" t="s">
        <v>225</v>
      </c>
      <c r="M350" s="9" t="s">
        <v>225</v>
      </c>
      <c r="O350" s="22" t="s">
        <v>1234</v>
      </c>
      <c r="P350" s="23" t="s">
        <v>43</v>
      </c>
      <c r="Q350" s="23" t="s">
        <v>225</v>
      </c>
      <c r="R350" s="23" t="s">
        <v>225</v>
      </c>
      <c r="S350" s="24" t="s">
        <v>225</v>
      </c>
    </row>
    <row r="351" spans="1:19" ht="15.75" customHeight="1" x14ac:dyDescent="0.2">
      <c r="A351" s="9"/>
      <c r="B351" s="10"/>
      <c r="C351" s="9"/>
      <c r="D351" s="9"/>
      <c r="E351" s="9"/>
      <c r="F351" s="9"/>
      <c r="G351" s="9"/>
      <c r="H351" s="9"/>
      <c r="I351" s="9" t="s">
        <v>1235</v>
      </c>
      <c r="J351" s="9" t="s">
        <v>43</v>
      </c>
      <c r="K351" s="9" t="s">
        <v>226</v>
      </c>
      <c r="L351" s="9" t="s">
        <v>225</v>
      </c>
      <c r="M351" s="9" t="s">
        <v>225</v>
      </c>
      <c r="O351" s="22" t="s">
        <v>1235</v>
      </c>
      <c r="P351" s="23" t="s">
        <v>43</v>
      </c>
      <c r="Q351" s="23" t="s">
        <v>226</v>
      </c>
      <c r="R351" s="23" t="s">
        <v>225</v>
      </c>
      <c r="S351" s="24" t="s">
        <v>225</v>
      </c>
    </row>
    <row r="352" spans="1:19" ht="15.75" customHeight="1" x14ac:dyDescent="0.2">
      <c r="A352" s="9"/>
      <c r="B352" s="10"/>
      <c r="C352" s="9"/>
      <c r="D352" s="9"/>
      <c r="E352" s="9"/>
      <c r="F352" s="9"/>
      <c r="G352" s="9"/>
      <c r="H352" s="9"/>
      <c r="I352" s="9" t="s">
        <v>1236</v>
      </c>
      <c r="J352" s="9" t="s">
        <v>43</v>
      </c>
      <c r="K352" s="9" t="s">
        <v>225</v>
      </c>
      <c r="L352" s="9" t="s">
        <v>225</v>
      </c>
      <c r="M352" s="9" t="s">
        <v>226</v>
      </c>
      <c r="O352" s="22" t="s">
        <v>1236</v>
      </c>
      <c r="P352" s="23" t="s">
        <v>43</v>
      </c>
      <c r="Q352" s="23" t="s">
        <v>225</v>
      </c>
      <c r="R352" s="23" t="s">
        <v>225</v>
      </c>
      <c r="S352" s="24" t="s">
        <v>226</v>
      </c>
    </row>
    <row r="353" spans="1:19" ht="15.75" customHeight="1" x14ac:dyDescent="0.2">
      <c r="A353" s="9"/>
      <c r="B353" s="10"/>
      <c r="C353" s="9"/>
      <c r="D353" s="9"/>
      <c r="E353" s="9"/>
      <c r="F353" s="9"/>
      <c r="G353" s="9"/>
      <c r="H353" s="9"/>
      <c r="I353" s="9" t="s">
        <v>1237</v>
      </c>
      <c r="J353" s="9" t="s">
        <v>43</v>
      </c>
      <c r="K353" s="9" t="s">
        <v>226</v>
      </c>
      <c r="L353" s="9" t="s">
        <v>225</v>
      </c>
      <c r="M353" s="9" t="s">
        <v>226</v>
      </c>
      <c r="O353" s="22" t="s">
        <v>1237</v>
      </c>
      <c r="P353" s="23" t="s">
        <v>43</v>
      </c>
      <c r="Q353" s="23" t="s">
        <v>226</v>
      </c>
      <c r="R353" s="23" t="s">
        <v>225</v>
      </c>
      <c r="S353" s="24" t="s">
        <v>226</v>
      </c>
    </row>
    <row r="354" spans="1:19" ht="15.75" customHeight="1" x14ac:dyDescent="0.2">
      <c r="A354" s="9"/>
      <c r="B354" s="10"/>
      <c r="C354" s="9"/>
      <c r="D354" s="9"/>
      <c r="E354" s="9"/>
      <c r="F354" s="9"/>
      <c r="G354" s="9"/>
      <c r="H354" s="9"/>
      <c r="I354" s="9" t="s">
        <v>1238</v>
      </c>
      <c r="J354" s="9" t="s">
        <v>43</v>
      </c>
      <c r="K354" s="9" t="s">
        <v>225</v>
      </c>
      <c r="L354" s="9" t="s">
        <v>225</v>
      </c>
      <c r="M354" s="9" t="s">
        <v>226</v>
      </c>
      <c r="O354" s="22" t="s">
        <v>1238</v>
      </c>
      <c r="P354" s="23" t="s">
        <v>43</v>
      </c>
      <c r="Q354" s="23" t="s">
        <v>225</v>
      </c>
      <c r="R354" s="23" t="s">
        <v>225</v>
      </c>
      <c r="S354" s="24" t="s">
        <v>226</v>
      </c>
    </row>
    <row r="355" spans="1:19" ht="15.75" customHeight="1" x14ac:dyDescent="0.2">
      <c r="A355" s="9"/>
      <c r="B355" s="10"/>
      <c r="C355" s="9"/>
      <c r="D355" s="9"/>
      <c r="E355" s="9"/>
      <c r="F355" s="9"/>
      <c r="G355" s="9"/>
      <c r="H355" s="9"/>
      <c r="I355" s="9" t="s">
        <v>1239</v>
      </c>
      <c r="J355" s="9" t="s">
        <v>43</v>
      </c>
      <c r="K355" s="9" t="s">
        <v>225</v>
      </c>
      <c r="L355" s="9" t="s">
        <v>225</v>
      </c>
      <c r="M355" s="9" t="s">
        <v>226</v>
      </c>
      <c r="O355" s="22" t="s">
        <v>1239</v>
      </c>
      <c r="P355" s="23" t="s">
        <v>43</v>
      </c>
      <c r="Q355" s="23" t="s">
        <v>225</v>
      </c>
      <c r="R355" s="23" t="s">
        <v>225</v>
      </c>
      <c r="S355" s="24" t="s">
        <v>226</v>
      </c>
    </row>
    <row r="356" spans="1:19" ht="15.75" customHeight="1" x14ac:dyDescent="0.2">
      <c r="A356" s="9"/>
      <c r="B356" s="10"/>
      <c r="C356" s="9"/>
      <c r="D356" s="9"/>
      <c r="E356" s="9"/>
      <c r="F356" s="9"/>
      <c r="G356" s="9"/>
      <c r="H356" s="9"/>
      <c r="I356" s="9" t="s">
        <v>1240</v>
      </c>
      <c r="J356" s="9" t="s">
        <v>43</v>
      </c>
      <c r="K356" s="9" t="s">
        <v>225</v>
      </c>
      <c r="L356" s="9" t="s">
        <v>225</v>
      </c>
      <c r="M356" s="9" t="s">
        <v>226</v>
      </c>
      <c r="O356" s="22" t="s">
        <v>1240</v>
      </c>
      <c r="P356" s="23" t="s">
        <v>43</v>
      </c>
      <c r="Q356" s="23" t="s">
        <v>225</v>
      </c>
      <c r="R356" s="23" t="s">
        <v>225</v>
      </c>
      <c r="S356" s="24" t="s">
        <v>226</v>
      </c>
    </row>
    <row r="357" spans="1:19" ht="15.75" customHeight="1" x14ac:dyDescent="0.2">
      <c r="A357" s="9"/>
      <c r="B357" s="10"/>
      <c r="C357" s="9"/>
      <c r="D357" s="9"/>
      <c r="E357" s="9"/>
      <c r="F357" s="9"/>
      <c r="G357" s="9"/>
      <c r="H357" s="9"/>
      <c r="I357" s="9" t="s">
        <v>1241</v>
      </c>
      <c r="J357" s="9" t="s">
        <v>43</v>
      </c>
      <c r="K357" s="9" t="s">
        <v>225</v>
      </c>
      <c r="L357" s="9" t="s">
        <v>225</v>
      </c>
      <c r="M357" s="9" t="s">
        <v>226</v>
      </c>
      <c r="O357" s="22" t="s">
        <v>1241</v>
      </c>
      <c r="P357" s="23" t="s">
        <v>43</v>
      </c>
      <c r="Q357" s="23" t="s">
        <v>225</v>
      </c>
      <c r="R357" s="23" t="s">
        <v>225</v>
      </c>
      <c r="S357" s="24" t="s">
        <v>226</v>
      </c>
    </row>
    <row r="358" spans="1:19" ht="15.75" customHeight="1" x14ac:dyDescent="0.2">
      <c r="A358" s="9"/>
      <c r="B358" s="10"/>
      <c r="C358" s="9"/>
      <c r="D358" s="9"/>
      <c r="E358" s="9"/>
      <c r="F358" s="9"/>
      <c r="G358" s="9"/>
      <c r="H358" s="9"/>
      <c r="I358" s="9" t="s">
        <v>1242</v>
      </c>
      <c r="J358" s="9" t="s">
        <v>43</v>
      </c>
      <c r="K358" s="9" t="s">
        <v>225</v>
      </c>
      <c r="L358" s="9" t="s">
        <v>225</v>
      </c>
      <c r="M358" s="9" t="s">
        <v>226</v>
      </c>
      <c r="O358" s="22" t="s">
        <v>1242</v>
      </c>
      <c r="P358" s="23" t="s">
        <v>43</v>
      </c>
      <c r="Q358" s="23" t="s">
        <v>225</v>
      </c>
      <c r="R358" s="23" t="s">
        <v>225</v>
      </c>
      <c r="S358" s="24" t="s">
        <v>226</v>
      </c>
    </row>
    <row r="359" spans="1:19" ht="15.75" customHeight="1" x14ac:dyDescent="0.2">
      <c r="A359" s="9"/>
      <c r="B359" s="10"/>
      <c r="C359" s="9"/>
      <c r="D359" s="9"/>
      <c r="E359" s="9"/>
      <c r="F359" s="9"/>
      <c r="G359" s="9"/>
      <c r="H359" s="9"/>
      <c r="I359" s="9" t="s">
        <v>1243</v>
      </c>
      <c r="J359" s="9" t="s">
        <v>43</v>
      </c>
      <c r="K359" s="9" t="s">
        <v>225</v>
      </c>
      <c r="L359" s="9" t="s">
        <v>225</v>
      </c>
      <c r="M359" s="9" t="s">
        <v>225</v>
      </c>
      <c r="O359" s="22" t="s">
        <v>1243</v>
      </c>
      <c r="P359" s="23" t="s">
        <v>43</v>
      </c>
      <c r="Q359" s="23" t="s">
        <v>225</v>
      </c>
      <c r="R359" s="23" t="s">
        <v>225</v>
      </c>
      <c r="S359" s="24" t="s">
        <v>225</v>
      </c>
    </row>
    <row r="360" spans="1:19" ht="15.75" customHeight="1" x14ac:dyDescent="0.2">
      <c r="A360" s="9"/>
      <c r="B360" s="10"/>
      <c r="C360" s="9"/>
      <c r="D360" s="9"/>
      <c r="E360" s="9"/>
      <c r="F360" s="9"/>
      <c r="G360" s="9"/>
      <c r="H360" s="9"/>
      <c r="I360" s="9" t="s">
        <v>1244</v>
      </c>
      <c r="J360" s="9" t="s">
        <v>43</v>
      </c>
      <c r="K360" s="9" t="s">
        <v>225</v>
      </c>
      <c r="L360" s="9" t="s">
        <v>225</v>
      </c>
      <c r="M360" s="9" t="s">
        <v>225</v>
      </c>
      <c r="O360" s="22" t="s">
        <v>1244</v>
      </c>
      <c r="P360" s="23" t="s">
        <v>43</v>
      </c>
      <c r="Q360" s="23" t="s">
        <v>225</v>
      </c>
      <c r="R360" s="23" t="s">
        <v>225</v>
      </c>
      <c r="S360" s="24" t="s">
        <v>225</v>
      </c>
    </row>
    <row r="361" spans="1:19" ht="15.75" customHeight="1" x14ac:dyDescent="0.2">
      <c r="A361" s="9"/>
      <c r="B361" s="10"/>
      <c r="C361" s="9"/>
      <c r="D361" s="9"/>
      <c r="E361" s="9"/>
      <c r="F361" s="9"/>
      <c r="G361" s="9"/>
      <c r="H361" s="9"/>
      <c r="I361" s="9" t="s">
        <v>1245</v>
      </c>
      <c r="J361" s="9" t="s">
        <v>43</v>
      </c>
      <c r="K361" s="9" t="s">
        <v>225</v>
      </c>
      <c r="L361" s="9" t="s">
        <v>225</v>
      </c>
      <c r="M361" s="9" t="s">
        <v>225</v>
      </c>
      <c r="O361" s="22" t="s">
        <v>1245</v>
      </c>
      <c r="P361" s="23" t="s">
        <v>43</v>
      </c>
      <c r="Q361" s="23" t="s">
        <v>225</v>
      </c>
      <c r="R361" s="23" t="s">
        <v>225</v>
      </c>
      <c r="S361" s="24" t="s">
        <v>225</v>
      </c>
    </row>
    <row r="362" spans="1:19" ht="15.75" customHeight="1" x14ac:dyDescent="0.2">
      <c r="A362" s="9"/>
      <c r="B362" s="10"/>
      <c r="C362" s="9"/>
      <c r="D362" s="9"/>
      <c r="E362" s="9"/>
      <c r="F362" s="9"/>
      <c r="G362" s="9"/>
      <c r="H362" s="9"/>
      <c r="I362" s="9" t="s">
        <v>1246</v>
      </c>
      <c r="J362" s="9" t="s">
        <v>43</v>
      </c>
      <c r="K362" s="9" t="s">
        <v>225</v>
      </c>
      <c r="L362" s="9" t="s">
        <v>225</v>
      </c>
      <c r="M362" s="9" t="s">
        <v>225</v>
      </c>
      <c r="O362" s="22" t="s">
        <v>1246</v>
      </c>
      <c r="P362" s="23" t="s">
        <v>43</v>
      </c>
      <c r="Q362" s="23" t="s">
        <v>225</v>
      </c>
      <c r="R362" s="23" t="s">
        <v>225</v>
      </c>
      <c r="S362" s="24" t="s">
        <v>225</v>
      </c>
    </row>
    <row r="363" spans="1:19" ht="15.75" customHeight="1" x14ac:dyDescent="0.2">
      <c r="A363" s="9"/>
      <c r="B363" s="10"/>
      <c r="C363" s="9"/>
      <c r="D363" s="9"/>
      <c r="E363" s="9"/>
      <c r="F363" s="9"/>
      <c r="G363" s="9"/>
      <c r="H363" s="9"/>
      <c r="I363" s="9" t="s">
        <v>1247</v>
      </c>
      <c r="J363" s="9" t="s">
        <v>43</v>
      </c>
      <c r="K363" s="9" t="s">
        <v>225</v>
      </c>
      <c r="L363" s="9" t="s">
        <v>225</v>
      </c>
      <c r="M363" s="9" t="s">
        <v>225</v>
      </c>
      <c r="O363" s="22" t="s">
        <v>1247</v>
      </c>
      <c r="P363" s="23" t="s">
        <v>43</v>
      </c>
      <c r="Q363" s="23" t="s">
        <v>225</v>
      </c>
      <c r="R363" s="23" t="s">
        <v>225</v>
      </c>
      <c r="S363" s="24" t="s">
        <v>225</v>
      </c>
    </row>
    <row r="364" spans="1:19" ht="15.75" customHeight="1" x14ac:dyDescent="0.2">
      <c r="A364" s="9"/>
      <c r="B364" s="10"/>
      <c r="C364" s="9"/>
      <c r="D364" s="9"/>
      <c r="E364" s="9"/>
      <c r="F364" s="9"/>
      <c r="G364" s="9"/>
      <c r="H364" s="9"/>
      <c r="I364" s="9" t="s">
        <v>1248</v>
      </c>
      <c r="J364" s="9" t="s">
        <v>43</v>
      </c>
      <c r="K364" s="9" t="s">
        <v>225</v>
      </c>
      <c r="L364" s="9" t="s">
        <v>225</v>
      </c>
      <c r="M364" s="9" t="s">
        <v>225</v>
      </c>
      <c r="O364" s="22" t="s">
        <v>1248</v>
      </c>
      <c r="P364" s="23" t="s">
        <v>43</v>
      </c>
      <c r="Q364" s="23" t="s">
        <v>225</v>
      </c>
      <c r="R364" s="23" t="s">
        <v>225</v>
      </c>
      <c r="S364" s="24" t="s">
        <v>225</v>
      </c>
    </row>
    <row r="365" spans="1:19" ht="15.75" customHeight="1" x14ac:dyDescent="0.2">
      <c r="A365" s="9"/>
      <c r="B365" s="10"/>
      <c r="C365" s="9"/>
      <c r="D365" s="9"/>
      <c r="E365" s="9"/>
      <c r="F365" s="9"/>
      <c r="G365" s="9"/>
      <c r="H365" s="9"/>
      <c r="I365" s="9" t="s">
        <v>1249</v>
      </c>
      <c r="J365" s="9" t="s">
        <v>43</v>
      </c>
      <c r="K365" s="9" t="s">
        <v>225</v>
      </c>
      <c r="L365" s="9" t="s">
        <v>225</v>
      </c>
      <c r="M365" s="9" t="s">
        <v>225</v>
      </c>
      <c r="O365" s="22" t="s">
        <v>1249</v>
      </c>
      <c r="P365" s="23" t="s">
        <v>43</v>
      </c>
      <c r="Q365" s="23" t="s">
        <v>225</v>
      </c>
      <c r="R365" s="23" t="s">
        <v>225</v>
      </c>
      <c r="S365" s="24" t="s">
        <v>225</v>
      </c>
    </row>
    <row r="366" spans="1:19" ht="15.75" customHeight="1" x14ac:dyDescent="0.2">
      <c r="A366" s="9"/>
      <c r="B366" s="10"/>
      <c r="C366" s="9"/>
      <c r="D366" s="9"/>
      <c r="E366" s="9"/>
      <c r="F366" s="9"/>
      <c r="G366" s="9"/>
      <c r="H366" s="9"/>
      <c r="I366" s="9" t="s">
        <v>1250</v>
      </c>
      <c r="J366" s="9" t="s">
        <v>43</v>
      </c>
      <c r="K366" s="9" t="s">
        <v>225</v>
      </c>
      <c r="L366" s="9" t="s">
        <v>225</v>
      </c>
      <c r="M366" s="9" t="s">
        <v>225</v>
      </c>
      <c r="O366" s="22" t="s">
        <v>1250</v>
      </c>
      <c r="P366" s="23" t="s">
        <v>43</v>
      </c>
      <c r="Q366" s="23" t="s">
        <v>225</v>
      </c>
      <c r="R366" s="23" t="s">
        <v>225</v>
      </c>
      <c r="S366" s="24" t="s">
        <v>225</v>
      </c>
    </row>
    <row r="367" spans="1:19" ht="15.75" customHeight="1" x14ac:dyDescent="0.2">
      <c r="A367" s="9"/>
      <c r="B367" s="10"/>
      <c r="C367" s="9"/>
      <c r="D367" s="9"/>
      <c r="E367" s="9"/>
      <c r="F367" s="9"/>
      <c r="G367" s="9"/>
      <c r="H367" s="9"/>
      <c r="I367" s="9" t="s">
        <v>1251</v>
      </c>
      <c r="J367" s="9" t="s">
        <v>43</v>
      </c>
      <c r="K367" s="9" t="s">
        <v>225</v>
      </c>
      <c r="L367" s="9" t="s">
        <v>225</v>
      </c>
      <c r="M367" s="9" t="s">
        <v>225</v>
      </c>
      <c r="O367" s="22" t="s">
        <v>1251</v>
      </c>
      <c r="P367" s="23" t="s">
        <v>43</v>
      </c>
      <c r="Q367" s="23" t="s">
        <v>225</v>
      </c>
      <c r="R367" s="23" t="s">
        <v>225</v>
      </c>
      <c r="S367" s="24" t="s">
        <v>225</v>
      </c>
    </row>
    <row r="368" spans="1:19" ht="15.75" customHeight="1" x14ac:dyDescent="0.2">
      <c r="A368" s="9"/>
      <c r="B368" s="10"/>
      <c r="C368" s="9"/>
      <c r="D368" s="9"/>
      <c r="E368" s="9"/>
      <c r="F368" s="9"/>
      <c r="G368" s="9"/>
      <c r="H368" s="9"/>
      <c r="I368" s="9" t="s">
        <v>1252</v>
      </c>
      <c r="J368" s="9" t="s">
        <v>43</v>
      </c>
      <c r="K368" s="9" t="s">
        <v>225</v>
      </c>
      <c r="L368" s="9" t="s">
        <v>225</v>
      </c>
      <c r="M368" s="9" t="s">
        <v>225</v>
      </c>
      <c r="O368" s="22" t="s">
        <v>1252</v>
      </c>
      <c r="P368" s="23" t="s">
        <v>43</v>
      </c>
      <c r="Q368" s="23" t="s">
        <v>225</v>
      </c>
      <c r="R368" s="23" t="s">
        <v>225</v>
      </c>
      <c r="S368" s="24" t="s">
        <v>225</v>
      </c>
    </row>
    <row r="369" spans="1:19" ht="15.75" customHeight="1" x14ac:dyDescent="0.2">
      <c r="A369" s="9"/>
      <c r="B369" s="10"/>
      <c r="C369" s="9"/>
      <c r="D369" s="9"/>
      <c r="E369" s="9"/>
      <c r="F369" s="9"/>
      <c r="G369" s="9"/>
      <c r="H369" s="9"/>
      <c r="I369" s="9" t="s">
        <v>1253</v>
      </c>
      <c r="J369" s="9" t="s">
        <v>43</v>
      </c>
      <c r="K369" s="9" t="s">
        <v>225</v>
      </c>
      <c r="L369" s="9" t="s">
        <v>225</v>
      </c>
      <c r="M369" s="9" t="s">
        <v>225</v>
      </c>
      <c r="O369" s="22" t="s">
        <v>1253</v>
      </c>
      <c r="P369" s="23" t="s">
        <v>43</v>
      </c>
      <c r="Q369" s="23" t="s">
        <v>225</v>
      </c>
      <c r="R369" s="23" t="s">
        <v>225</v>
      </c>
      <c r="S369" s="24" t="s">
        <v>225</v>
      </c>
    </row>
    <row r="370" spans="1:19" ht="15.75" customHeight="1" x14ac:dyDescent="0.2">
      <c r="A370" s="9"/>
      <c r="B370" s="10"/>
      <c r="C370" s="9"/>
      <c r="D370" s="9"/>
      <c r="E370" s="9"/>
      <c r="F370" s="9"/>
      <c r="G370" s="9"/>
      <c r="H370" s="9"/>
      <c r="I370" s="9" t="s">
        <v>1254</v>
      </c>
      <c r="J370" s="9" t="s">
        <v>43</v>
      </c>
      <c r="K370" s="9" t="s">
        <v>225</v>
      </c>
      <c r="L370" s="9" t="s">
        <v>225</v>
      </c>
      <c r="M370" s="9" t="s">
        <v>225</v>
      </c>
      <c r="O370" s="22" t="s">
        <v>1254</v>
      </c>
      <c r="P370" s="23" t="s">
        <v>43</v>
      </c>
      <c r="Q370" s="23" t="s">
        <v>225</v>
      </c>
      <c r="R370" s="23" t="s">
        <v>225</v>
      </c>
      <c r="S370" s="24" t="s">
        <v>225</v>
      </c>
    </row>
    <row r="371" spans="1:19" ht="15.75" customHeight="1" x14ac:dyDescent="0.2">
      <c r="A371" s="9"/>
      <c r="B371" s="10"/>
      <c r="C371" s="9"/>
      <c r="D371" s="9"/>
      <c r="E371" s="9"/>
      <c r="F371" s="9"/>
      <c r="G371" s="9"/>
      <c r="H371" s="9"/>
      <c r="I371" s="9" t="s">
        <v>1255</v>
      </c>
      <c r="J371" s="9" t="s">
        <v>43</v>
      </c>
      <c r="K371" s="9" t="s">
        <v>226</v>
      </c>
      <c r="L371" s="9" t="s">
        <v>225</v>
      </c>
      <c r="M371" s="9" t="s">
        <v>225</v>
      </c>
      <c r="O371" s="22" t="s">
        <v>1255</v>
      </c>
      <c r="P371" s="23" t="s">
        <v>43</v>
      </c>
      <c r="Q371" s="23" t="s">
        <v>226</v>
      </c>
      <c r="R371" s="23" t="s">
        <v>225</v>
      </c>
      <c r="S371" s="24" t="s">
        <v>225</v>
      </c>
    </row>
    <row r="372" spans="1:19" ht="15.75" customHeight="1" x14ac:dyDescent="0.2">
      <c r="A372" s="9"/>
      <c r="B372" s="10"/>
      <c r="C372" s="9"/>
      <c r="D372" s="9"/>
      <c r="E372" s="9"/>
      <c r="F372" s="9"/>
      <c r="G372" s="9"/>
      <c r="H372" s="9"/>
      <c r="I372" s="9" t="s">
        <v>1256</v>
      </c>
      <c r="J372" s="9" t="s">
        <v>43</v>
      </c>
      <c r="K372" s="9" t="s">
        <v>225</v>
      </c>
      <c r="L372" s="9" t="s">
        <v>225</v>
      </c>
      <c r="M372" s="9" t="s">
        <v>225</v>
      </c>
      <c r="O372" s="22" t="s">
        <v>1256</v>
      </c>
      <c r="P372" s="23" t="s">
        <v>43</v>
      </c>
      <c r="Q372" s="23" t="s">
        <v>225</v>
      </c>
      <c r="R372" s="23" t="s">
        <v>225</v>
      </c>
      <c r="S372" s="24" t="s">
        <v>225</v>
      </c>
    </row>
    <row r="373" spans="1:19" ht="15.75" customHeight="1" x14ac:dyDescent="0.2">
      <c r="A373" s="9"/>
      <c r="B373" s="10"/>
      <c r="C373" s="9"/>
      <c r="D373" s="9"/>
      <c r="E373" s="9"/>
      <c r="F373" s="9"/>
      <c r="G373" s="9"/>
      <c r="H373" s="9"/>
      <c r="I373" s="9" t="s">
        <v>1257</v>
      </c>
      <c r="J373" s="9" t="s">
        <v>43</v>
      </c>
      <c r="K373" s="9" t="s">
        <v>225</v>
      </c>
      <c r="L373" s="9" t="s">
        <v>225</v>
      </c>
      <c r="M373" s="9" t="s">
        <v>225</v>
      </c>
      <c r="O373" s="22" t="s">
        <v>1257</v>
      </c>
      <c r="P373" s="23" t="s">
        <v>43</v>
      </c>
      <c r="Q373" s="23" t="s">
        <v>225</v>
      </c>
      <c r="R373" s="23" t="s">
        <v>225</v>
      </c>
      <c r="S373" s="24" t="s">
        <v>225</v>
      </c>
    </row>
    <row r="374" spans="1:19" ht="15.75" customHeight="1" x14ac:dyDescent="0.2">
      <c r="A374" s="9"/>
      <c r="B374" s="10"/>
      <c r="C374" s="9"/>
      <c r="D374" s="9"/>
      <c r="E374" s="9"/>
      <c r="F374" s="9"/>
      <c r="G374" s="9"/>
      <c r="H374" s="9"/>
      <c r="I374" s="9" t="s">
        <v>1258</v>
      </c>
      <c r="J374" s="9" t="s">
        <v>43</v>
      </c>
      <c r="K374" s="9" t="s">
        <v>226</v>
      </c>
      <c r="L374" s="9" t="s">
        <v>225</v>
      </c>
      <c r="M374" s="9" t="s">
        <v>225</v>
      </c>
      <c r="O374" s="22" t="s">
        <v>1258</v>
      </c>
      <c r="P374" s="23" t="s">
        <v>43</v>
      </c>
      <c r="Q374" s="23" t="s">
        <v>226</v>
      </c>
      <c r="R374" s="23" t="s">
        <v>225</v>
      </c>
      <c r="S374" s="24" t="s">
        <v>225</v>
      </c>
    </row>
    <row r="375" spans="1:19" ht="15.75" customHeight="1" x14ac:dyDescent="0.2">
      <c r="A375" s="9"/>
      <c r="B375" s="10"/>
      <c r="C375" s="9"/>
      <c r="D375" s="9"/>
      <c r="E375" s="9"/>
      <c r="F375" s="9"/>
      <c r="G375" s="9"/>
      <c r="H375" s="9"/>
      <c r="I375" s="9" t="s">
        <v>1259</v>
      </c>
      <c r="J375" s="9" t="s">
        <v>43</v>
      </c>
      <c r="K375" s="9" t="s">
        <v>225</v>
      </c>
      <c r="L375" s="9" t="s">
        <v>225</v>
      </c>
      <c r="M375" s="9" t="s">
        <v>225</v>
      </c>
      <c r="O375" s="22" t="s">
        <v>1259</v>
      </c>
      <c r="P375" s="23" t="s">
        <v>43</v>
      </c>
      <c r="Q375" s="23" t="s">
        <v>225</v>
      </c>
      <c r="R375" s="23" t="s">
        <v>225</v>
      </c>
      <c r="S375" s="24" t="s">
        <v>225</v>
      </c>
    </row>
    <row r="376" spans="1:19" ht="15.75" customHeight="1" x14ac:dyDescent="0.2">
      <c r="A376" s="9"/>
      <c r="B376" s="10"/>
      <c r="C376" s="9"/>
      <c r="D376" s="9"/>
      <c r="E376" s="9"/>
      <c r="F376" s="9"/>
      <c r="G376" s="9"/>
      <c r="H376" s="9"/>
      <c r="I376" s="9" t="s">
        <v>1260</v>
      </c>
      <c r="J376" s="9" t="s">
        <v>43</v>
      </c>
      <c r="K376" s="9" t="s">
        <v>226</v>
      </c>
      <c r="L376" s="9" t="s">
        <v>225</v>
      </c>
      <c r="M376" s="9" t="s">
        <v>225</v>
      </c>
      <c r="O376" s="22" t="s">
        <v>1260</v>
      </c>
      <c r="P376" s="23" t="s">
        <v>43</v>
      </c>
      <c r="Q376" s="23" t="s">
        <v>226</v>
      </c>
      <c r="R376" s="23" t="s">
        <v>225</v>
      </c>
      <c r="S376" s="24" t="s">
        <v>225</v>
      </c>
    </row>
    <row r="377" spans="1:19" ht="15.75" customHeight="1" x14ac:dyDescent="0.2">
      <c r="A377" s="9"/>
      <c r="B377" s="10"/>
      <c r="C377" s="9"/>
      <c r="D377" s="9"/>
      <c r="E377" s="9"/>
      <c r="F377" s="9"/>
      <c r="G377" s="9"/>
      <c r="H377" s="9"/>
      <c r="I377" s="9" t="s">
        <v>1261</v>
      </c>
      <c r="J377" s="9" t="s">
        <v>43</v>
      </c>
      <c r="K377" s="9" t="s">
        <v>225</v>
      </c>
      <c r="L377" s="9" t="s">
        <v>225</v>
      </c>
      <c r="M377" s="9" t="s">
        <v>225</v>
      </c>
      <c r="O377" s="22" t="s">
        <v>1261</v>
      </c>
      <c r="P377" s="23" t="s">
        <v>43</v>
      </c>
      <c r="Q377" s="23" t="s">
        <v>225</v>
      </c>
      <c r="R377" s="23" t="s">
        <v>225</v>
      </c>
      <c r="S377" s="24" t="s">
        <v>225</v>
      </c>
    </row>
    <row r="378" spans="1:19" ht="15.75" customHeight="1" x14ac:dyDescent="0.2">
      <c r="A378" s="9"/>
      <c r="B378" s="10"/>
      <c r="C378" s="9"/>
      <c r="D378" s="9"/>
      <c r="E378" s="9"/>
      <c r="F378" s="9"/>
      <c r="G378" s="9"/>
      <c r="H378" s="9"/>
      <c r="I378" s="9" t="s">
        <v>1262</v>
      </c>
      <c r="J378" s="9" t="s">
        <v>43</v>
      </c>
      <c r="K378" s="9" t="s">
        <v>226</v>
      </c>
      <c r="L378" s="9" t="s">
        <v>225</v>
      </c>
      <c r="M378" s="9" t="s">
        <v>225</v>
      </c>
      <c r="O378" s="22" t="s">
        <v>1262</v>
      </c>
      <c r="P378" s="23" t="s">
        <v>43</v>
      </c>
      <c r="Q378" s="23" t="s">
        <v>226</v>
      </c>
      <c r="R378" s="23" t="s">
        <v>225</v>
      </c>
      <c r="S378" s="24" t="s">
        <v>225</v>
      </c>
    </row>
    <row r="379" spans="1:19" ht="15.75" customHeight="1" x14ac:dyDescent="0.2">
      <c r="A379" s="9"/>
      <c r="B379" s="10"/>
      <c r="C379" s="9"/>
      <c r="D379" s="9"/>
      <c r="E379" s="9"/>
      <c r="F379" s="9"/>
      <c r="G379" s="9"/>
      <c r="H379" s="9"/>
      <c r="I379" s="9" t="s">
        <v>1263</v>
      </c>
      <c r="J379" s="9" t="s">
        <v>43</v>
      </c>
      <c r="K379" s="9" t="s">
        <v>225</v>
      </c>
      <c r="L379" s="9" t="s">
        <v>225</v>
      </c>
      <c r="M379" s="9" t="s">
        <v>225</v>
      </c>
      <c r="O379" s="22" t="s">
        <v>1263</v>
      </c>
      <c r="P379" s="23" t="s">
        <v>43</v>
      </c>
      <c r="Q379" s="23" t="s">
        <v>225</v>
      </c>
      <c r="R379" s="23" t="s">
        <v>225</v>
      </c>
      <c r="S379" s="24" t="s">
        <v>225</v>
      </c>
    </row>
    <row r="380" spans="1:19" ht="15.75" customHeight="1" x14ac:dyDescent="0.2">
      <c r="A380" s="9"/>
      <c r="B380" s="10"/>
      <c r="C380" s="9"/>
      <c r="D380" s="9"/>
      <c r="E380" s="9"/>
      <c r="F380" s="9"/>
      <c r="G380" s="9"/>
      <c r="H380" s="9"/>
      <c r="I380" s="9" t="s">
        <v>1264</v>
      </c>
      <c r="J380" s="9" t="s">
        <v>43</v>
      </c>
      <c r="K380" s="9" t="s">
        <v>226</v>
      </c>
      <c r="L380" s="9" t="s">
        <v>225</v>
      </c>
      <c r="M380" s="9" t="s">
        <v>225</v>
      </c>
      <c r="O380" s="22" t="s">
        <v>1264</v>
      </c>
      <c r="P380" s="23" t="s">
        <v>43</v>
      </c>
      <c r="Q380" s="23" t="s">
        <v>226</v>
      </c>
      <c r="R380" s="23" t="s">
        <v>225</v>
      </c>
      <c r="S380" s="24" t="s">
        <v>225</v>
      </c>
    </row>
    <row r="381" spans="1:19" ht="15.75" customHeight="1" x14ac:dyDescent="0.2">
      <c r="A381" s="9"/>
      <c r="B381" s="10"/>
      <c r="C381" s="9"/>
      <c r="D381" s="9"/>
      <c r="E381" s="9"/>
      <c r="F381" s="9"/>
      <c r="G381" s="9"/>
      <c r="H381" s="9"/>
      <c r="I381" s="9" t="s">
        <v>1265</v>
      </c>
      <c r="J381" s="9" t="s">
        <v>43</v>
      </c>
      <c r="K381" s="9" t="s">
        <v>225</v>
      </c>
      <c r="L381" s="9" t="s">
        <v>225</v>
      </c>
      <c r="M381" s="9" t="s">
        <v>225</v>
      </c>
      <c r="O381" s="22" t="s">
        <v>1265</v>
      </c>
      <c r="P381" s="23" t="s">
        <v>43</v>
      </c>
      <c r="Q381" s="23" t="s">
        <v>225</v>
      </c>
      <c r="R381" s="23" t="s">
        <v>225</v>
      </c>
      <c r="S381" s="24" t="s">
        <v>225</v>
      </c>
    </row>
    <row r="382" spans="1:19" ht="15.75" customHeight="1" x14ac:dyDescent="0.2">
      <c r="A382" s="9"/>
      <c r="B382" s="10"/>
      <c r="C382" s="9"/>
      <c r="D382" s="9"/>
      <c r="E382" s="9"/>
      <c r="F382" s="9"/>
      <c r="G382" s="9"/>
      <c r="H382" s="9"/>
      <c r="I382" s="9" t="s">
        <v>1266</v>
      </c>
      <c r="J382" s="9" t="s">
        <v>43</v>
      </c>
      <c r="K382" s="9" t="s">
        <v>226</v>
      </c>
      <c r="L382" s="9" t="s">
        <v>225</v>
      </c>
      <c r="M382" s="9" t="s">
        <v>225</v>
      </c>
      <c r="O382" s="22" t="s">
        <v>1266</v>
      </c>
      <c r="P382" s="23" t="s">
        <v>43</v>
      </c>
      <c r="Q382" s="23" t="s">
        <v>226</v>
      </c>
      <c r="R382" s="23" t="s">
        <v>225</v>
      </c>
      <c r="S382" s="24" t="s">
        <v>225</v>
      </c>
    </row>
    <row r="383" spans="1:19" ht="15.75" customHeight="1" x14ac:dyDescent="0.2">
      <c r="A383" s="9"/>
      <c r="B383" s="10"/>
      <c r="C383" s="9"/>
      <c r="D383" s="9"/>
      <c r="E383" s="9"/>
      <c r="F383" s="9"/>
      <c r="G383" s="9"/>
      <c r="H383" s="9"/>
      <c r="I383" s="9" t="s">
        <v>1267</v>
      </c>
      <c r="J383" s="9" t="s">
        <v>43</v>
      </c>
      <c r="K383" s="9" t="s">
        <v>226</v>
      </c>
      <c r="L383" s="9" t="s">
        <v>225</v>
      </c>
      <c r="M383" s="9" t="s">
        <v>225</v>
      </c>
      <c r="O383" s="22" t="s">
        <v>1267</v>
      </c>
      <c r="P383" s="23" t="s">
        <v>43</v>
      </c>
      <c r="Q383" s="23" t="s">
        <v>226</v>
      </c>
      <c r="R383" s="23" t="s">
        <v>225</v>
      </c>
      <c r="S383" s="24" t="s">
        <v>225</v>
      </c>
    </row>
    <row r="384" spans="1:19" ht="15.75" customHeight="1" x14ac:dyDescent="0.2">
      <c r="A384" s="9"/>
      <c r="B384" s="10"/>
      <c r="C384" s="9"/>
      <c r="D384" s="9"/>
      <c r="E384" s="9"/>
      <c r="F384" s="9"/>
      <c r="G384" s="9"/>
      <c r="H384" s="9"/>
      <c r="I384" s="9" t="s">
        <v>1268</v>
      </c>
      <c r="J384" s="9" t="s">
        <v>43</v>
      </c>
      <c r="K384" s="9" t="s">
        <v>226</v>
      </c>
      <c r="L384" s="9" t="s">
        <v>225</v>
      </c>
      <c r="M384" s="9" t="s">
        <v>225</v>
      </c>
      <c r="O384" s="22" t="s">
        <v>1268</v>
      </c>
      <c r="P384" s="23" t="s">
        <v>43</v>
      </c>
      <c r="Q384" s="23" t="s">
        <v>226</v>
      </c>
      <c r="R384" s="23" t="s">
        <v>225</v>
      </c>
      <c r="S384" s="24" t="s">
        <v>225</v>
      </c>
    </row>
    <row r="385" spans="1:19" ht="15.75" customHeight="1" x14ac:dyDescent="0.2">
      <c r="A385" s="9"/>
      <c r="B385" s="10"/>
      <c r="C385" s="9"/>
      <c r="D385" s="9"/>
      <c r="E385" s="9"/>
      <c r="F385" s="9"/>
      <c r="G385" s="9"/>
      <c r="H385" s="9"/>
      <c r="I385" s="9" t="s">
        <v>1269</v>
      </c>
      <c r="J385" s="9" t="s">
        <v>43</v>
      </c>
      <c r="K385" s="9" t="s">
        <v>226</v>
      </c>
      <c r="L385" s="9" t="s">
        <v>225</v>
      </c>
      <c r="M385" s="9" t="s">
        <v>225</v>
      </c>
      <c r="O385" s="22" t="s">
        <v>1269</v>
      </c>
      <c r="P385" s="23" t="s">
        <v>43</v>
      </c>
      <c r="Q385" s="23" t="s">
        <v>226</v>
      </c>
      <c r="R385" s="23" t="s">
        <v>225</v>
      </c>
      <c r="S385" s="24" t="s">
        <v>225</v>
      </c>
    </row>
    <row r="386" spans="1:19" ht="15.75" customHeight="1" x14ac:dyDescent="0.2">
      <c r="A386" s="9"/>
      <c r="B386" s="10"/>
      <c r="C386" s="9"/>
      <c r="D386" s="9"/>
      <c r="E386" s="9"/>
      <c r="F386" s="9"/>
      <c r="G386" s="9"/>
      <c r="H386" s="9"/>
      <c r="I386" s="9" t="s">
        <v>1270</v>
      </c>
      <c r="J386" s="9" t="s">
        <v>43</v>
      </c>
      <c r="K386" s="9" t="s">
        <v>226</v>
      </c>
      <c r="L386" s="9" t="s">
        <v>225</v>
      </c>
      <c r="M386" s="9" t="s">
        <v>225</v>
      </c>
      <c r="O386" s="22" t="s">
        <v>1270</v>
      </c>
      <c r="P386" s="23" t="s">
        <v>43</v>
      </c>
      <c r="Q386" s="23" t="s">
        <v>226</v>
      </c>
      <c r="R386" s="23" t="s">
        <v>225</v>
      </c>
      <c r="S386" s="24" t="s">
        <v>225</v>
      </c>
    </row>
    <row r="387" spans="1:19" ht="15.75" customHeight="1" x14ac:dyDescent="0.2">
      <c r="A387" s="9"/>
      <c r="B387" s="10"/>
      <c r="C387" s="9"/>
      <c r="D387" s="9"/>
      <c r="E387" s="9"/>
      <c r="F387" s="9"/>
      <c r="G387" s="9"/>
      <c r="H387" s="9"/>
      <c r="I387" s="9" t="s">
        <v>1271</v>
      </c>
      <c r="J387" s="9" t="s">
        <v>43</v>
      </c>
      <c r="K387" s="9" t="s">
        <v>226</v>
      </c>
      <c r="L387" s="9" t="s">
        <v>225</v>
      </c>
      <c r="M387" s="9" t="s">
        <v>225</v>
      </c>
      <c r="O387" s="22" t="s">
        <v>1271</v>
      </c>
      <c r="P387" s="23" t="s">
        <v>43</v>
      </c>
      <c r="Q387" s="23" t="s">
        <v>226</v>
      </c>
      <c r="R387" s="23" t="s">
        <v>225</v>
      </c>
      <c r="S387" s="24" t="s">
        <v>225</v>
      </c>
    </row>
    <row r="388" spans="1:19" ht="15.75" customHeight="1" x14ac:dyDescent="0.2">
      <c r="A388" s="9"/>
      <c r="B388" s="10"/>
      <c r="C388" s="9"/>
      <c r="D388" s="9"/>
      <c r="E388" s="9"/>
      <c r="F388" s="9"/>
      <c r="G388" s="9"/>
      <c r="H388" s="9"/>
      <c r="I388" s="9" t="s">
        <v>1272</v>
      </c>
      <c r="J388" s="9" t="s">
        <v>43</v>
      </c>
      <c r="K388" s="9" t="s">
        <v>226</v>
      </c>
      <c r="L388" s="9" t="s">
        <v>225</v>
      </c>
      <c r="M388" s="9" t="s">
        <v>225</v>
      </c>
      <c r="O388" s="22" t="s">
        <v>1272</v>
      </c>
      <c r="P388" s="23" t="s">
        <v>43</v>
      </c>
      <c r="Q388" s="23" t="s">
        <v>226</v>
      </c>
      <c r="R388" s="23" t="s">
        <v>225</v>
      </c>
      <c r="S388" s="24" t="s">
        <v>225</v>
      </c>
    </row>
    <row r="389" spans="1:19" ht="15.75" customHeight="1" x14ac:dyDescent="0.2">
      <c r="A389" s="9"/>
      <c r="B389" s="10"/>
      <c r="C389" s="9"/>
      <c r="D389" s="9"/>
      <c r="E389" s="9"/>
      <c r="F389" s="9"/>
      <c r="G389" s="9"/>
      <c r="H389" s="9"/>
      <c r="I389" s="9" t="s">
        <v>1273</v>
      </c>
      <c r="J389" s="9" t="s">
        <v>43</v>
      </c>
      <c r="K389" s="9" t="s">
        <v>225</v>
      </c>
      <c r="L389" s="9" t="s">
        <v>225</v>
      </c>
      <c r="M389" s="9" t="s">
        <v>225</v>
      </c>
      <c r="O389" s="22" t="s">
        <v>1273</v>
      </c>
      <c r="P389" s="23" t="s">
        <v>43</v>
      </c>
      <c r="Q389" s="23" t="s">
        <v>225</v>
      </c>
      <c r="R389" s="23" t="s">
        <v>225</v>
      </c>
      <c r="S389" s="24" t="s">
        <v>225</v>
      </c>
    </row>
    <row r="390" spans="1:19" ht="15.75" customHeight="1" x14ac:dyDescent="0.2">
      <c r="A390" s="9"/>
      <c r="B390" s="10"/>
      <c r="C390" s="9"/>
      <c r="D390" s="9"/>
      <c r="E390" s="9"/>
      <c r="F390" s="9"/>
      <c r="G390" s="9"/>
      <c r="H390" s="9"/>
      <c r="I390" s="9" t="s">
        <v>1274</v>
      </c>
      <c r="J390" s="9" t="s">
        <v>43</v>
      </c>
      <c r="K390" s="9" t="s">
        <v>225</v>
      </c>
      <c r="L390" s="9" t="s">
        <v>225</v>
      </c>
      <c r="M390" s="9" t="s">
        <v>225</v>
      </c>
      <c r="O390" s="22" t="s">
        <v>1274</v>
      </c>
      <c r="P390" s="23" t="s">
        <v>43</v>
      </c>
      <c r="Q390" s="23" t="s">
        <v>225</v>
      </c>
      <c r="R390" s="23" t="s">
        <v>225</v>
      </c>
      <c r="S390" s="24" t="s">
        <v>225</v>
      </c>
    </row>
    <row r="391" spans="1:19" ht="15.75" customHeight="1" x14ac:dyDescent="0.2">
      <c r="A391" s="9"/>
      <c r="B391" s="10"/>
      <c r="C391" s="9"/>
      <c r="D391" s="9"/>
      <c r="E391" s="9"/>
      <c r="F391" s="9"/>
      <c r="G391" s="9"/>
      <c r="H391" s="9"/>
      <c r="I391" s="9" t="s">
        <v>1275</v>
      </c>
      <c r="J391" s="9" t="s">
        <v>43</v>
      </c>
      <c r="K391" s="9" t="s">
        <v>225</v>
      </c>
      <c r="L391" s="9" t="s">
        <v>225</v>
      </c>
      <c r="M391" s="9" t="s">
        <v>225</v>
      </c>
      <c r="O391" s="22" t="s">
        <v>1275</v>
      </c>
      <c r="P391" s="23" t="s">
        <v>43</v>
      </c>
      <c r="Q391" s="23" t="s">
        <v>225</v>
      </c>
      <c r="R391" s="23" t="s">
        <v>225</v>
      </c>
      <c r="S391" s="24" t="s">
        <v>225</v>
      </c>
    </row>
    <row r="392" spans="1:19" ht="15.75" customHeight="1" x14ac:dyDescent="0.2">
      <c r="A392" s="9"/>
      <c r="B392" s="10"/>
      <c r="C392" s="9"/>
      <c r="D392" s="9"/>
      <c r="E392" s="9"/>
      <c r="F392" s="9"/>
      <c r="G392" s="9"/>
      <c r="H392" s="9"/>
      <c r="I392" s="9" t="s">
        <v>1276</v>
      </c>
      <c r="J392" s="9" t="s">
        <v>43</v>
      </c>
      <c r="K392" s="9" t="s">
        <v>225</v>
      </c>
      <c r="L392" s="9" t="s">
        <v>225</v>
      </c>
      <c r="M392" s="9" t="s">
        <v>225</v>
      </c>
      <c r="O392" s="22" t="s">
        <v>1276</v>
      </c>
      <c r="P392" s="23" t="s">
        <v>43</v>
      </c>
      <c r="Q392" s="23" t="s">
        <v>225</v>
      </c>
      <c r="R392" s="23" t="s">
        <v>225</v>
      </c>
      <c r="S392" s="24" t="s">
        <v>225</v>
      </c>
    </row>
    <row r="393" spans="1:19" ht="15.75" customHeight="1" x14ac:dyDescent="0.2">
      <c r="A393" s="9"/>
      <c r="B393" s="10"/>
      <c r="C393" s="9"/>
      <c r="D393" s="9"/>
      <c r="E393" s="9"/>
      <c r="F393" s="9"/>
      <c r="G393" s="9"/>
      <c r="H393" s="9"/>
      <c r="I393" s="9" t="s">
        <v>1277</v>
      </c>
      <c r="J393" s="9" t="s">
        <v>43</v>
      </c>
      <c r="K393" s="9" t="s">
        <v>225</v>
      </c>
      <c r="L393" s="9" t="s">
        <v>225</v>
      </c>
      <c r="M393" s="9" t="s">
        <v>225</v>
      </c>
      <c r="O393" s="22" t="s">
        <v>1277</v>
      </c>
      <c r="P393" s="23" t="s">
        <v>43</v>
      </c>
      <c r="Q393" s="23" t="s">
        <v>225</v>
      </c>
      <c r="R393" s="23" t="s">
        <v>225</v>
      </c>
      <c r="S393" s="24" t="s">
        <v>225</v>
      </c>
    </row>
    <row r="394" spans="1:19" ht="15.75" customHeight="1" x14ac:dyDescent="0.2">
      <c r="A394" s="9"/>
      <c r="B394" s="10"/>
      <c r="C394" s="9"/>
      <c r="D394" s="9"/>
      <c r="E394" s="9"/>
      <c r="F394" s="9"/>
      <c r="G394" s="9"/>
      <c r="H394" s="9"/>
      <c r="I394" s="9" t="s">
        <v>1278</v>
      </c>
      <c r="J394" s="9" t="s">
        <v>43</v>
      </c>
      <c r="K394" s="9" t="s">
        <v>226</v>
      </c>
      <c r="L394" s="9" t="s">
        <v>225</v>
      </c>
      <c r="M394" s="9" t="s">
        <v>225</v>
      </c>
      <c r="O394" s="22" t="s">
        <v>1278</v>
      </c>
      <c r="P394" s="23" t="s">
        <v>43</v>
      </c>
      <c r="Q394" s="23" t="s">
        <v>226</v>
      </c>
      <c r="R394" s="23" t="s">
        <v>225</v>
      </c>
      <c r="S394" s="24" t="s">
        <v>225</v>
      </c>
    </row>
    <row r="395" spans="1:19" ht="15.75" customHeight="1" x14ac:dyDescent="0.2">
      <c r="A395" s="9"/>
      <c r="B395" s="10"/>
      <c r="C395" s="9"/>
      <c r="D395" s="9"/>
      <c r="E395" s="9"/>
      <c r="F395" s="9"/>
      <c r="G395" s="9"/>
      <c r="H395" s="9"/>
      <c r="I395" s="9" t="s">
        <v>1279</v>
      </c>
      <c r="J395" s="9" t="s">
        <v>43</v>
      </c>
      <c r="K395" s="9" t="s">
        <v>225</v>
      </c>
      <c r="L395" s="9" t="s">
        <v>225</v>
      </c>
      <c r="M395" s="9" t="s">
        <v>225</v>
      </c>
      <c r="O395" s="22" t="s">
        <v>1279</v>
      </c>
      <c r="P395" s="23" t="s">
        <v>43</v>
      </c>
      <c r="Q395" s="23" t="s">
        <v>225</v>
      </c>
      <c r="R395" s="23" t="s">
        <v>225</v>
      </c>
      <c r="S395" s="24" t="s">
        <v>225</v>
      </c>
    </row>
    <row r="396" spans="1:19" ht="15.75" customHeight="1" x14ac:dyDescent="0.2">
      <c r="A396" s="9"/>
      <c r="B396" s="10"/>
      <c r="C396" s="9"/>
      <c r="D396" s="9"/>
      <c r="E396" s="9"/>
      <c r="F396" s="9"/>
      <c r="G396" s="9"/>
      <c r="H396" s="9"/>
      <c r="I396" s="9" t="s">
        <v>1280</v>
      </c>
      <c r="J396" s="9" t="s">
        <v>43</v>
      </c>
      <c r="K396" s="9" t="s">
        <v>225</v>
      </c>
      <c r="L396" s="9" t="s">
        <v>225</v>
      </c>
      <c r="M396" s="9" t="s">
        <v>225</v>
      </c>
      <c r="O396" s="22" t="s">
        <v>1280</v>
      </c>
      <c r="P396" s="23" t="s">
        <v>43</v>
      </c>
      <c r="Q396" s="23" t="s">
        <v>225</v>
      </c>
      <c r="R396" s="23" t="s">
        <v>225</v>
      </c>
      <c r="S396" s="24" t="s">
        <v>225</v>
      </c>
    </row>
    <row r="397" spans="1:19" ht="15.75" customHeight="1" x14ac:dyDescent="0.2">
      <c r="A397" s="9"/>
      <c r="B397" s="10"/>
      <c r="C397" s="9"/>
      <c r="D397" s="9"/>
      <c r="E397" s="9"/>
      <c r="F397" s="9"/>
      <c r="G397" s="9"/>
      <c r="H397" s="9"/>
      <c r="I397" s="9" t="s">
        <v>1281</v>
      </c>
      <c r="J397" s="9" t="s">
        <v>43</v>
      </c>
      <c r="K397" s="9" t="s">
        <v>225</v>
      </c>
      <c r="L397" s="9" t="s">
        <v>225</v>
      </c>
      <c r="M397" s="9" t="s">
        <v>225</v>
      </c>
      <c r="O397" s="22" t="s">
        <v>1281</v>
      </c>
      <c r="P397" s="23" t="s">
        <v>43</v>
      </c>
      <c r="Q397" s="23" t="s">
        <v>225</v>
      </c>
      <c r="R397" s="23" t="s">
        <v>225</v>
      </c>
      <c r="S397" s="24" t="s">
        <v>225</v>
      </c>
    </row>
    <row r="398" spans="1:19" ht="15.75" customHeight="1" x14ac:dyDescent="0.2">
      <c r="A398" s="9"/>
      <c r="B398" s="10"/>
      <c r="C398" s="9"/>
      <c r="D398" s="9"/>
      <c r="E398" s="9"/>
      <c r="F398" s="9"/>
      <c r="G398" s="9"/>
      <c r="H398" s="9"/>
      <c r="I398" s="9" t="s">
        <v>1282</v>
      </c>
      <c r="J398" s="9" t="s">
        <v>43</v>
      </c>
      <c r="K398" s="9" t="s">
        <v>225</v>
      </c>
      <c r="L398" s="9" t="s">
        <v>225</v>
      </c>
      <c r="M398" s="9" t="s">
        <v>225</v>
      </c>
      <c r="O398" s="22" t="s">
        <v>1282</v>
      </c>
      <c r="P398" s="23" t="s">
        <v>43</v>
      </c>
      <c r="Q398" s="23" t="s">
        <v>225</v>
      </c>
      <c r="R398" s="23" t="s">
        <v>225</v>
      </c>
      <c r="S398" s="24" t="s">
        <v>225</v>
      </c>
    </row>
    <row r="399" spans="1:19" ht="15.75" customHeight="1" x14ac:dyDescent="0.2">
      <c r="A399" s="9"/>
      <c r="B399" s="10"/>
      <c r="C399" s="9"/>
      <c r="D399" s="9"/>
      <c r="E399" s="9"/>
      <c r="F399" s="9"/>
      <c r="G399" s="9"/>
      <c r="H399" s="9"/>
      <c r="I399" s="9" t="s">
        <v>1283</v>
      </c>
      <c r="J399" s="9" t="s">
        <v>43</v>
      </c>
      <c r="K399" s="9" t="s">
        <v>225</v>
      </c>
      <c r="L399" s="9" t="s">
        <v>225</v>
      </c>
      <c r="M399" s="9" t="s">
        <v>226</v>
      </c>
      <c r="O399" s="22" t="s">
        <v>1283</v>
      </c>
      <c r="P399" s="23" t="s">
        <v>43</v>
      </c>
      <c r="Q399" s="23" t="s">
        <v>225</v>
      </c>
      <c r="R399" s="23" t="s">
        <v>225</v>
      </c>
      <c r="S399" s="24" t="s">
        <v>226</v>
      </c>
    </row>
    <row r="400" spans="1:19" ht="15.75" customHeight="1" x14ac:dyDescent="0.2">
      <c r="A400" s="9"/>
      <c r="B400" s="10"/>
      <c r="C400" s="9"/>
      <c r="D400" s="9"/>
      <c r="E400" s="9"/>
      <c r="F400" s="9"/>
      <c r="G400" s="9"/>
      <c r="H400" s="9"/>
      <c r="I400" s="9" t="s">
        <v>1284</v>
      </c>
      <c r="J400" s="9" t="s">
        <v>43</v>
      </c>
      <c r="K400" s="9" t="s">
        <v>225</v>
      </c>
      <c r="L400" s="9" t="s">
        <v>225</v>
      </c>
      <c r="M400" s="9" t="s">
        <v>226</v>
      </c>
      <c r="O400" s="22" t="s">
        <v>1284</v>
      </c>
      <c r="P400" s="23" t="s">
        <v>43</v>
      </c>
      <c r="Q400" s="23" t="s">
        <v>225</v>
      </c>
      <c r="R400" s="23" t="s">
        <v>225</v>
      </c>
      <c r="S400" s="24" t="s">
        <v>226</v>
      </c>
    </row>
    <row r="401" spans="1:19" ht="15.75" customHeight="1" x14ac:dyDescent="0.2">
      <c r="A401" s="9"/>
      <c r="B401" s="10"/>
      <c r="C401" s="9"/>
      <c r="D401" s="9"/>
      <c r="E401" s="9"/>
      <c r="F401" s="9"/>
      <c r="G401" s="9"/>
      <c r="H401" s="9"/>
      <c r="I401" s="9" t="s">
        <v>1285</v>
      </c>
      <c r="J401" s="9" t="s">
        <v>43</v>
      </c>
      <c r="K401" s="9" t="s">
        <v>225</v>
      </c>
      <c r="L401" s="9" t="s">
        <v>225</v>
      </c>
      <c r="M401" s="9" t="s">
        <v>226</v>
      </c>
      <c r="O401" s="22" t="s">
        <v>1285</v>
      </c>
      <c r="P401" s="23" t="s">
        <v>43</v>
      </c>
      <c r="Q401" s="23" t="s">
        <v>225</v>
      </c>
      <c r="R401" s="23" t="s">
        <v>225</v>
      </c>
      <c r="S401" s="24" t="s">
        <v>226</v>
      </c>
    </row>
    <row r="402" spans="1:19" ht="15.75" customHeight="1" x14ac:dyDescent="0.2">
      <c r="A402" s="9"/>
      <c r="B402" s="10"/>
      <c r="C402" s="9"/>
      <c r="D402" s="9"/>
      <c r="E402" s="9"/>
      <c r="F402" s="9"/>
      <c r="G402" s="9"/>
      <c r="H402" s="9"/>
      <c r="I402" s="9" t="s">
        <v>1286</v>
      </c>
      <c r="J402" s="9" t="s">
        <v>43</v>
      </c>
      <c r="K402" s="9" t="s">
        <v>225</v>
      </c>
      <c r="L402" s="9" t="s">
        <v>225</v>
      </c>
      <c r="M402" s="9" t="s">
        <v>226</v>
      </c>
      <c r="O402" s="22" t="s">
        <v>1286</v>
      </c>
      <c r="P402" s="23" t="s">
        <v>43</v>
      </c>
      <c r="Q402" s="23" t="s">
        <v>225</v>
      </c>
      <c r="R402" s="23" t="s">
        <v>225</v>
      </c>
      <c r="S402" s="24" t="s">
        <v>226</v>
      </c>
    </row>
    <row r="403" spans="1:19" ht="15.75" customHeight="1" x14ac:dyDescent="0.2">
      <c r="A403" s="9"/>
      <c r="B403" s="10"/>
      <c r="C403" s="9"/>
      <c r="D403" s="9"/>
      <c r="E403" s="9"/>
      <c r="F403" s="9"/>
      <c r="G403" s="9"/>
      <c r="H403" s="9"/>
      <c r="I403" s="9" t="s">
        <v>1287</v>
      </c>
      <c r="J403" s="9" t="s">
        <v>43</v>
      </c>
      <c r="K403" s="9" t="s">
        <v>225</v>
      </c>
      <c r="L403" s="9" t="s">
        <v>225</v>
      </c>
      <c r="M403" s="9" t="s">
        <v>226</v>
      </c>
      <c r="O403" s="22" t="s">
        <v>1287</v>
      </c>
      <c r="P403" s="23" t="s">
        <v>43</v>
      </c>
      <c r="Q403" s="23" t="s">
        <v>225</v>
      </c>
      <c r="R403" s="23" t="s">
        <v>225</v>
      </c>
      <c r="S403" s="24" t="s">
        <v>226</v>
      </c>
    </row>
    <row r="404" spans="1:19" ht="15.75" customHeight="1" x14ac:dyDescent="0.2">
      <c r="A404" s="9"/>
      <c r="B404" s="10"/>
      <c r="C404" s="9"/>
      <c r="D404" s="9"/>
      <c r="E404" s="9"/>
      <c r="F404" s="9"/>
      <c r="G404" s="9"/>
      <c r="H404" s="9"/>
      <c r="I404" s="9" t="s">
        <v>1288</v>
      </c>
      <c r="J404" s="9" t="s">
        <v>43</v>
      </c>
      <c r="K404" s="9" t="s">
        <v>225</v>
      </c>
      <c r="L404" s="9" t="s">
        <v>225</v>
      </c>
      <c r="M404" s="9" t="s">
        <v>226</v>
      </c>
      <c r="O404" s="22" t="s">
        <v>1288</v>
      </c>
      <c r="P404" s="23" t="s">
        <v>43</v>
      </c>
      <c r="Q404" s="23" t="s">
        <v>225</v>
      </c>
      <c r="R404" s="23" t="s">
        <v>225</v>
      </c>
      <c r="S404" s="24" t="s">
        <v>226</v>
      </c>
    </row>
    <row r="405" spans="1:19" ht="15.75" customHeight="1" x14ac:dyDescent="0.2">
      <c r="A405" s="9"/>
      <c r="B405" s="10"/>
      <c r="C405" s="9"/>
      <c r="D405" s="9"/>
      <c r="E405" s="9"/>
      <c r="F405" s="9"/>
      <c r="G405" s="9"/>
      <c r="H405" s="9"/>
      <c r="I405" s="9" t="s">
        <v>1289</v>
      </c>
      <c r="J405" s="9" t="s">
        <v>43</v>
      </c>
      <c r="K405" s="9" t="s">
        <v>225</v>
      </c>
      <c r="L405" s="9" t="s">
        <v>225</v>
      </c>
      <c r="M405" s="9" t="s">
        <v>226</v>
      </c>
      <c r="O405" s="22" t="s">
        <v>1289</v>
      </c>
      <c r="P405" s="23" t="s">
        <v>43</v>
      </c>
      <c r="Q405" s="23" t="s">
        <v>225</v>
      </c>
      <c r="R405" s="23" t="s">
        <v>225</v>
      </c>
      <c r="S405" s="24" t="s">
        <v>226</v>
      </c>
    </row>
    <row r="406" spans="1:19" ht="15.75" customHeight="1" x14ac:dyDescent="0.2">
      <c r="A406" s="9"/>
      <c r="B406" s="10"/>
      <c r="C406" s="9"/>
      <c r="D406" s="9"/>
      <c r="E406" s="9"/>
      <c r="F406" s="9"/>
      <c r="G406" s="9"/>
      <c r="H406" s="9"/>
      <c r="I406" s="9" t="s">
        <v>1290</v>
      </c>
      <c r="J406" s="9" t="s">
        <v>43</v>
      </c>
      <c r="K406" s="9" t="s">
        <v>225</v>
      </c>
      <c r="L406" s="9" t="s">
        <v>225</v>
      </c>
      <c r="M406" s="9" t="s">
        <v>225</v>
      </c>
      <c r="O406" s="22" t="s">
        <v>1290</v>
      </c>
      <c r="P406" s="23" t="s">
        <v>43</v>
      </c>
      <c r="Q406" s="23" t="s">
        <v>225</v>
      </c>
      <c r="R406" s="23" t="s">
        <v>225</v>
      </c>
      <c r="S406" s="24" t="s">
        <v>225</v>
      </c>
    </row>
    <row r="407" spans="1:19" ht="15.75" customHeight="1" x14ac:dyDescent="0.2">
      <c r="A407" s="9"/>
      <c r="B407" s="10"/>
      <c r="C407" s="9"/>
      <c r="D407" s="9"/>
      <c r="E407" s="9"/>
      <c r="F407" s="9"/>
      <c r="G407" s="9"/>
      <c r="H407" s="9"/>
      <c r="I407" s="9" t="s">
        <v>1291</v>
      </c>
      <c r="J407" s="9" t="s">
        <v>43</v>
      </c>
      <c r="K407" s="9" t="s">
        <v>226</v>
      </c>
      <c r="L407" s="9" t="s">
        <v>225</v>
      </c>
      <c r="M407" s="9" t="s">
        <v>225</v>
      </c>
      <c r="O407" s="22" t="s">
        <v>1291</v>
      </c>
      <c r="P407" s="23" t="s">
        <v>43</v>
      </c>
      <c r="Q407" s="23" t="s">
        <v>226</v>
      </c>
      <c r="R407" s="23" t="s">
        <v>225</v>
      </c>
      <c r="S407" s="24" t="s">
        <v>225</v>
      </c>
    </row>
    <row r="408" spans="1:19" ht="15.75" customHeight="1" x14ac:dyDescent="0.2">
      <c r="A408" s="9"/>
      <c r="B408" s="10"/>
      <c r="C408" s="9"/>
      <c r="D408" s="9"/>
      <c r="E408" s="9"/>
      <c r="F408" s="9"/>
      <c r="G408" s="9"/>
      <c r="H408" s="9"/>
      <c r="I408" s="9" t="s">
        <v>1292</v>
      </c>
      <c r="J408" s="9" t="s">
        <v>43</v>
      </c>
      <c r="K408" s="9" t="s">
        <v>226</v>
      </c>
      <c r="L408" s="9" t="s">
        <v>225</v>
      </c>
      <c r="M408" s="9" t="s">
        <v>225</v>
      </c>
      <c r="O408" s="22" t="s">
        <v>1292</v>
      </c>
      <c r="P408" s="23" t="s">
        <v>43</v>
      </c>
      <c r="Q408" s="23" t="s">
        <v>226</v>
      </c>
      <c r="R408" s="23" t="s">
        <v>225</v>
      </c>
      <c r="S408" s="24" t="s">
        <v>225</v>
      </c>
    </row>
    <row r="409" spans="1:19" ht="15.75" customHeight="1" x14ac:dyDescent="0.2">
      <c r="A409" s="9"/>
      <c r="B409" s="10"/>
      <c r="C409" s="9"/>
      <c r="D409" s="9"/>
      <c r="E409" s="9"/>
      <c r="F409" s="9"/>
      <c r="G409" s="9"/>
      <c r="H409" s="9"/>
      <c r="I409" s="9" t="s">
        <v>1293</v>
      </c>
      <c r="J409" s="9" t="s">
        <v>43</v>
      </c>
      <c r="K409" s="9" t="s">
        <v>225</v>
      </c>
      <c r="L409" s="9" t="s">
        <v>225</v>
      </c>
      <c r="M409" s="9" t="s">
        <v>225</v>
      </c>
      <c r="O409" s="22" t="s">
        <v>1293</v>
      </c>
      <c r="P409" s="23" t="s">
        <v>43</v>
      </c>
      <c r="Q409" s="23" t="s">
        <v>225</v>
      </c>
      <c r="R409" s="23" t="s">
        <v>225</v>
      </c>
      <c r="S409" s="24" t="s">
        <v>225</v>
      </c>
    </row>
    <row r="410" spans="1:19" ht="15.75" customHeight="1" x14ac:dyDescent="0.2">
      <c r="A410" s="9"/>
      <c r="B410" s="10"/>
      <c r="C410" s="9"/>
      <c r="D410" s="9"/>
      <c r="E410" s="9"/>
      <c r="F410" s="9"/>
      <c r="G410" s="9"/>
      <c r="H410" s="9"/>
      <c r="I410" s="9" t="s">
        <v>1294</v>
      </c>
      <c r="J410" s="9" t="s">
        <v>43</v>
      </c>
      <c r="K410" s="9" t="s">
        <v>225</v>
      </c>
      <c r="L410" s="9" t="s">
        <v>225</v>
      </c>
      <c r="M410" s="9" t="s">
        <v>225</v>
      </c>
      <c r="O410" s="22" t="s">
        <v>1294</v>
      </c>
      <c r="P410" s="23" t="s">
        <v>43</v>
      </c>
      <c r="Q410" s="23" t="s">
        <v>225</v>
      </c>
      <c r="R410" s="23" t="s">
        <v>225</v>
      </c>
      <c r="S410" s="24" t="s">
        <v>225</v>
      </c>
    </row>
    <row r="411" spans="1:19" ht="15.75" customHeight="1" x14ac:dyDescent="0.2">
      <c r="A411" s="9"/>
      <c r="B411" s="10"/>
      <c r="C411" s="9"/>
      <c r="D411" s="9"/>
      <c r="E411" s="9"/>
      <c r="F411" s="9"/>
      <c r="G411" s="9"/>
      <c r="H411" s="9"/>
      <c r="I411" s="9" t="s">
        <v>1295</v>
      </c>
      <c r="J411" s="9" t="s">
        <v>43</v>
      </c>
      <c r="K411" s="9" t="s">
        <v>225</v>
      </c>
      <c r="L411" s="9" t="s">
        <v>225</v>
      </c>
      <c r="M411" s="9" t="s">
        <v>225</v>
      </c>
      <c r="O411" s="22" t="s">
        <v>1295</v>
      </c>
      <c r="P411" s="23" t="s">
        <v>43</v>
      </c>
      <c r="Q411" s="23" t="s">
        <v>225</v>
      </c>
      <c r="R411" s="23" t="s">
        <v>225</v>
      </c>
      <c r="S411" s="24" t="s">
        <v>225</v>
      </c>
    </row>
    <row r="412" spans="1:19" ht="15.75" customHeight="1" x14ac:dyDescent="0.2">
      <c r="A412" s="9"/>
      <c r="B412" s="10"/>
      <c r="C412" s="9"/>
      <c r="D412" s="9"/>
      <c r="E412" s="9"/>
      <c r="F412" s="9"/>
      <c r="G412" s="9"/>
      <c r="H412" s="9"/>
      <c r="I412" s="9" t="s">
        <v>1296</v>
      </c>
      <c r="J412" s="9" t="s">
        <v>43</v>
      </c>
      <c r="K412" s="9" t="s">
        <v>226</v>
      </c>
      <c r="L412" s="9" t="s">
        <v>225</v>
      </c>
      <c r="M412" s="9" t="s">
        <v>225</v>
      </c>
      <c r="O412" s="22" t="s">
        <v>1296</v>
      </c>
      <c r="P412" s="23" t="s">
        <v>43</v>
      </c>
      <c r="Q412" s="23" t="s">
        <v>226</v>
      </c>
      <c r="R412" s="23" t="s">
        <v>225</v>
      </c>
      <c r="S412" s="24" t="s">
        <v>225</v>
      </c>
    </row>
    <row r="413" spans="1:19" ht="15.75" customHeight="1" x14ac:dyDescent="0.2">
      <c r="A413" s="9"/>
      <c r="B413" s="10"/>
      <c r="C413" s="9"/>
      <c r="D413" s="9"/>
      <c r="E413" s="9"/>
      <c r="F413" s="9"/>
      <c r="G413" s="9"/>
      <c r="H413" s="9"/>
      <c r="I413" s="9" t="s">
        <v>1297</v>
      </c>
      <c r="J413" s="9" t="s">
        <v>43</v>
      </c>
      <c r="K413" s="9" t="s">
        <v>226</v>
      </c>
      <c r="L413" s="9" t="s">
        <v>225</v>
      </c>
      <c r="M413" s="9" t="s">
        <v>225</v>
      </c>
      <c r="O413" s="22" t="s">
        <v>1297</v>
      </c>
      <c r="P413" s="23" t="s">
        <v>43</v>
      </c>
      <c r="Q413" s="23" t="s">
        <v>226</v>
      </c>
      <c r="R413" s="23" t="s">
        <v>225</v>
      </c>
      <c r="S413" s="24" t="s">
        <v>225</v>
      </c>
    </row>
    <row r="414" spans="1:19" ht="15.75" customHeight="1" x14ac:dyDescent="0.2">
      <c r="A414" s="9"/>
      <c r="B414" s="10"/>
      <c r="C414" s="9"/>
      <c r="D414" s="9"/>
      <c r="E414" s="9"/>
      <c r="F414" s="9"/>
      <c r="G414" s="9"/>
      <c r="H414" s="9"/>
      <c r="I414" s="9" t="s">
        <v>1298</v>
      </c>
      <c r="J414" s="9" t="s">
        <v>43</v>
      </c>
      <c r="K414" s="9" t="s">
        <v>226</v>
      </c>
      <c r="L414" s="9" t="s">
        <v>225</v>
      </c>
      <c r="M414" s="9" t="s">
        <v>225</v>
      </c>
      <c r="O414" s="22" t="s">
        <v>1298</v>
      </c>
      <c r="P414" s="23" t="s">
        <v>43</v>
      </c>
      <c r="Q414" s="23" t="s">
        <v>226</v>
      </c>
      <c r="R414" s="23" t="s">
        <v>225</v>
      </c>
      <c r="S414" s="24" t="s">
        <v>225</v>
      </c>
    </row>
    <row r="415" spans="1:19" ht="15.75" customHeight="1" x14ac:dyDescent="0.2">
      <c r="A415" s="9"/>
      <c r="B415" s="10"/>
      <c r="C415" s="9"/>
      <c r="D415" s="9"/>
      <c r="E415" s="9"/>
      <c r="F415" s="9"/>
      <c r="G415" s="9"/>
      <c r="H415" s="9"/>
      <c r="I415" s="9" t="s">
        <v>1299</v>
      </c>
      <c r="J415" s="9" t="s">
        <v>1300</v>
      </c>
      <c r="K415" s="9" t="s">
        <v>225</v>
      </c>
      <c r="L415" s="9" t="s">
        <v>225</v>
      </c>
      <c r="M415" s="9" t="s">
        <v>225</v>
      </c>
      <c r="O415" s="22" t="s">
        <v>1299</v>
      </c>
      <c r="P415" s="23" t="s">
        <v>1300</v>
      </c>
      <c r="Q415" s="23" t="s">
        <v>225</v>
      </c>
      <c r="R415" s="23" t="s">
        <v>225</v>
      </c>
      <c r="S415" s="24" t="s">
        <v>225</v>
      </c>
    </row>
    <row r="416" spans="1:19" ht="15.75" customHeight="1" x14ac:dyDescent="0.2">
      <c r="A416" s="9"/>
      <c r="B416" s="10"/>
      <c r="C416" s="9"/>
      <c r="D416" s="9"/>
      <c r="E416" s="9"/>
      <c r="F416" s="9"/>
      <c r="G416" s="9"/>
      <c r="H416" s="9"/>
      <c r="I416" s="9" t="s">
        <v>1301</v>
      </c>
      <c r="J416" s="9" t="s">
        <v>1059</v>
      </c>
      <c r="K416" s="9" t="s">
        <v>225</v>
      </c>
      <c r="L416" s="9" t="s">
        <v>225</v>
      </c>
      <c r="M416" s="9" t="s">
        <v>225</v>
      </c>
      <c r="O416" s="22" t="s">
        <v>1301</v>
      </c>
      <c r="P416" s="23" t="s">
        <v>1059</v>
      </c>
      <c r="Q416" s="23" t="s">
        <v>225</v>
      </c>
      <c r="R416" s="23" t="s">
        <v>225</v>
      </c>
      <c r="S416" s="24" t="s">
        <v>225</v>
      </c>
    </row>
    <row r="417" spans="1:19" ht="15.75" customHeight="1" x14ac:dyDescent="0.2">
      <c r="A417" s="9"/>
      <c r="B417" s="10"/>
      <c r="C417" s="9"/>
      <c r="D417" s="9"/>
      <c r="E417" s="9"/>
      <c r="F417" s="9"/>
      <c r="G417" s="9"/>
      <c r="H417" s="9"/>
      <c r="I417" s="9" t="s">
        <v>1302</v>
      </c>
      <c r="J417" s="9" t="s">
        <v>1303</v>
      </c>
      <c r="K417" s="9" t="s">
        <v>225</v>
      </c>
      <c r="L417" s="9" t="s">
        <v>225</v>
      </c>
      <c r="M417" s="9" t="s">
        <v>225</v>
      </c>
      <c r="O417" s="22" t="s">
        <v>1302</v>
      </c>
      <c r="P417" s="23" t="s">
        <v>1303</v>
      </c>
      <c r="Q417" s="23" t="s">
        <v>225</v>
      </c>
      <c r="R417" s="23" t="s">
        <v>225</v>
      </c>
      <c r="S417" s="24" t="s">
        <v>225</v>
      </c>
    </row>
    <row r="418" spans="1:19" ht="15.75" customHeight="1" x14ac:dyDescent="0.2">
      <c r="A418" s="9"/>
      <c r="B418" s="10"/>
      <c r="C418" s="9"/>
      <c r="D418" s="9"/>
      <c r="E418" s="9"/>
      <c r="F418" s="9"/>
      <c r="G418" s="9"/>
      <c r="H418" s="9"/>
      <c r="I418" s="9" t="s">
        <v>1304</v>
      </c>
      <c r="J418" s="9" t="s">
        <v>1305</v>
      </c>
      <c r="K418" s="9" t="s">
        <v>225</v>
      </c>
      <c r="L418" s="9" t="s">
        <v>225</v>
      </c>
      <c r="M418" s="9" t="s">
        <v>225</v>
      </c>
      <c r="O418" s="22" t="s">
        <v>1304</v>
      </c>
      <c r="P418" s="23" t="s">
        <v>1305</v>
      </c>
      <c r="Q418" s="23" t="s">
        <v>225</v>
      </c>
      <c r="R418" s="23" t="s">
        <v>225</v>
      </c>
      <c r="S418" s="24" t="s">
        <v>225</v>
      </c>
    </row>
    <row r="419" spans="1:19" ht="15.75" customHeight="1" x14ac:dyDescent="0.2">
      <c r="A419" s="9"/>
      <c r="B419" s="10"/>
      <c r="C419" s="9"/>
      <c r="D419" s="9"/>
      <c r="E419" s="9"/>
      <c r="F419" s="9"/>
      <c r="G419" s="9"/>
      <c r="H419" s="9"/>
      <c r="I419" s="9" t="s">
        <v>1306</v>
      </c>
      <c r="J419" s="9" t="s">
        <v>1305</v>
      </c>
      <c r="K419" s="9" t="s">
        <v>226</v>
      </c>
      <c r="L419" s="9" t="s">
        <v>225</v>
      </c>
      <c r="M419" s="9" t="s">
        <v>225</v>
      </c>
      <c r="O419" s="22" t="s">
        <v>1306</v>
      </c>
      <c r="P419" s="23" t="s">
        <v>1305</v>
      </c>
      <c r="Q419" s="23" t="s">
        <v>226</v>
      </c>
      <c r="R419" s="23" t="s">
        <v>225</v>
      </c>
      <c r="S419" s="24" t="s">
        <v>225</v>
      </c>
    </row>
    <row r="420" spans="1:19" ht="15.75" customHeight="1" x14ac:dyDescent="0.2">
      <c r="A420" s="9"/>
      <c r="B420" s="10"/>
      <c r="C420" s="9"/>
      <c r="D420" s="9"/>
      <c r="E420" s="9"/>
      <c r="F420" s="9"/>
      <c r="G420" s="9"/>
      <c r="H420" s="9"/>
      <c r="I420" s="9" t="s">
        <v>1307</v>
      </c>
      <c r="J420" s="9" t="s">
        <v>1303</v>
      </c>
      <c r="K420" s="9" t="s">
        <v>226</v>
      </c>
      <c r="L420" s="9" t="s">
        <v>225</v>
      </c>
      <c r="M420" s="9" t="s">
        <v>225</v>
      </c>
      <c r="O420" s="22" t="s">
        <v>1307</v>
      </c>
      <c r="P420" s="23" t="s">
        <v>1303</v>
      </c>
      <c r="Q420" s="23" t="s">
        <v>226</v>
      </c>
      <c r="R420" s="23" t="s">
        <v>225</v>
      </c>
      <c r="S420" s="24" t="s">
        <v>225</v>
      </c>
    </row>
    <row r="421" spans="1:19" ht="15.75" customHeight="1" x14ac:dyDescent="0.2">
      <c r="A421" s="9"/>
      <c r="B421" s="10"/>
      <c r="C421" s="9"/>
      <c r="D421" s="9"/>
      <c r="E421" s="9"/>
      <c r="F421" s="9"/>
      <c r="G421" s="9"/>
      <c r="H421" s="9"/>
      <c r="I421" s="9" t="s">
        <v>1308</v>
      </c>
      <c r="J421" s="9" t="s">
        <v>43</v>
      </c>
      <c r="K421" s="9" t="s">
        <v>226</v>
      </c>
      <c r="L421" s="9" t="s">
        <v>225</v>
      </c>
      <c r="M421" s="9" t="s">
        <v>225</v>
      </c>
      <c r="O421" s="22" t="s">
        <v>1308</v>
      </c>
      <c r="P421" s="23" t="s">
        <v>43</v>
      </c>
      <c r="Q421" s="23" t="s">
        <v>226</v>
      </c>
      <c r="R421" s="23" t="s">
        <v>225</v>
      </c>
      <c r="S421" s="24" t="s">
        <v>225</v>
      </c>
    </row>
    <row r="422" spans="1:19" ht="15.75" customHeight="1" x14ac:dyDescent="0.2">
      <c r="A422" s="9"/>
      <c r="B422" s="10"/>
      <c r="C422" s="9"/>
      <c r="D422" s="9"/>
      <c r="E422" s="9"/>
      <c r="F422" s="9"/>
      <c r="G422" s="9"/>
      <c r="H422" s="9"/>
      <c r="I422" s="9" t="s">
        <v>1309</v>
      </c>
      <c r="J422" s="9" t="s">
        <v>43</v>
      </c>
      <c r="K422" s="9" t="s">
        <v>225</v>
      </c>
      <c r="L422" s="9" t="s">
        <v>225</v>
      </c>
      <c r="M422" s="9" t="s">
        <v>225</v>
      </c>
      <c r="O422" s="22" t="s">
        <v>1309</v>
      </c>
      <c r="P422" s="23" t="s">
        <v>43</v>
      </c>
      <c r="Q422" s="23" t="s">
        <v>225</v>
      </c>
      <c r="R422" s="23" t="s">
        <v>225</v>
      </c>
      <c r="S422" s="24" t="s">
        <v>225</v>
      </c>
    </row>
    <row r="423" spans="1:19" ht="15.75" customHeight="1" x14ac:dyDescent="0.2">
      <c r="A423" s="9"/>
      <c r="B423" s="10"/>
      <c r="C423" s="9"/>
      <c r="D423" s="9"/>
      <c r="E423" s="9"/>
      <c r="F423" s="9"/>
      <c r="G423" s="9"/>
      <c r="H423" s="9"/>
      <c r="I423" s="9" t="s">
        <v>1310</v>
      </c>
      <c r="J423" s="9" t="s">
        <v>43</v>
      </c>
      <c r="K423" s="9" t="s">
        <v>225</v>
      </c>
      <c r="L423" s="9" t="s">
        <v>225</v>
      </c>
      <c r="M423" s="9" t="s">
        <v>225</v>
      </c>
      <c r="O423" s="22" t="s">
        <v>1310</v>
      </c>
      <c r="P423" s="23" t="s">
        <v>43</v>
      </c>
      <c r="Q423" s="23" t="s">
        <v>225</v>
      </c>
      <c r="R423" s="23" t="s">
        <v>225</v>
      </c>
      <c r="S423" s="24" t="s">
        <v>225</v>
      </c>
    </row>
    <row r="424" spans="1:19" ht="15.75" customHeight="1" x14ac:dyDescent="0.2">
      <c r="A424" s="9"/>
      <c r="B424" s="10"/>
      <c r="C424" s="9"/>
      <c r="D424" s="9"/>
      <c r="E424" s="9"/>
      <c r="F424" s="9"/>
      <c r="G424" s="9"/>
      <c r="H424" s="9"/>
      <c r="I424" s="9" t="s">
        <v>1311</v>
      </c>
      <c r="J424" s="9" t="s">
        <v>43</v>
      </c>
      <c r="K424" s="9" t="s">
        <v>225</v>
      </c>
      <c r="L424" s="9" t="s">
        <v>225</v>
      </c>
      <c r="M424" s="9" t="s">
        <v>225</v>
      </c>
      <c r="O424" s="22" t="s">
        <v>1311</v>
      </c>
      <c r="P424" s="23" t="s">
        <v>43</v>
      </c>
      <c r="Q424" s="23" t="s">
        <v>225</v>
      </c>
      <c r="R424" s="23" t="s">
        <v>225</v>
      </c>
      <c r="S424" s="24" t="s">
        <v>225</v>
      </c>
    </row>
    <row r="425" spans="1:19" ht="15.75" customHeight="1" x14ac:dyDescent="0.2">
      <c r="A425" s="9"/>
      <c r="B425" s="10"/>
      <c r="C425" s="9"/>
      <c r="D425" s="9"/>
      <c r="E425" s="9"/>
      <c r="F425" s="9"/>
      <c r="G425" s="9"/>
      <c r="H425" s="9"/>
      <c r="I425" s="9" t="s">
        <v>1312</v>
      </c>
      <c r="J425" s="9" t="s">
        <v>1056</v>
      </c>
      <c r="K425" s="9" t="s">
        <v>225</v>
      </c>
      <c r="L425" s="9" t="s">
        <v>225</v>
      </c>
      <c r="M425" s="9" t="s">
        <v>225</v>
      </c>
      <c r="O425" s="22" t="s">
        <v>1312</v>
      </c>
      <c r="P425" s="23" t="s">
        <v>1056</v>
      </c>
      <c r="Q425" s="23" t="s">
        <v>225</v>
      </c>
      <c r="R425" s="23" t="s">
        <v>225</v>
      </c>
      <c r="S425" s="24" t="s">
        <v>225</v>
      </c>
    </row>
    <row r="426" spans="1:19" ht="15.75" customHeight="1" x14ac:dyDescent="0.2">
      <c r="A426" s="9"/>
      <c r="B426" s="10"/>
      <c r="C426" s="9"/>
      <c r="D426" s="9"/>
      <c r="E426" s="9"/>
      <c r="F426" s="9"/>
      <c r="G426" s="9"/>
      <c r="H426" s="9"/>
      <c r="I426" s="9" t="s">
        <v>1313</v>
      </c>
      <c r="J426" s="9" t="s">
        <v>1314</v>
      </c>
      <c r="K426" s="9" t="s">
        <v>226</v>
      </c>
      <c r="L426" s="9" t="s">
        <v>225</v>
      </c>
      <c r="M426" s="9" t="s">
        <v>225</v>
      </c>
      <c r="O426" s="22" t="s">
        <v>1313</v>
      </c>
      <c r="P426" s="23" t="s">
        <v>1314</v>
      </c>
      <c r="Q426" s="23" t="s">
        <v>226</v>
      </c>
      <c r="R426" s="23" t="s">
        <v>225</v>
      </c>
      <c r="S426" s="24" t="s">
        <v>225</v>
      </c>
    </row>
    <row r="427" spans="1:19" ht="15.75" customHeight="1" x14ac:dyDescent="0.2">
      <c r="A427" s="9"/>
      <c r="B427" s="10"/>
      <c r="C427" s="9"/>
      <c r="D427" s="9"/>
      <c r="E427" s="9"/>
      <c r="F427" s="9"/>
      <c r="G427" s="9"/>
      <c r="H427" s="9"/>
      <c r="I427" s="9" t="s">
        <v>1315</v>
      </c>
      <c r="J427" s="9" t="s">
        <v>1056</v>
      </c>
      <c r="K427" s="9" t="s">
        <v>226</v>
      </c>
      <c r="L427" s="9" t="s">
        <v>225</v>
      </c>
      <c r="M427" s="9" t="s">
        <v>225</v>
      </c>
      <c r="O427" s="22" t="s">
        <v>1315</v>
      </c>
      <c r="P427" s="23" t="s">
        <v>1056</v>
      </c>
      <c r="Q427" s="23" t="s">
        <v>226</v>
      </c>
      <c r="R427" s="23" t="s">
        <v>225</v>
      </c>
      <c r="S427" s="24" t="s">
        <v>225</v>
      </c>
    </row>
    <row r="428" spans="1:19" ht="15.75" customHeight="1" x14ac:dyDescent="0.2">
      <c r="A428" s="9"/>
      <c r="B428" s="10"/>
      <c r="C428" s="9"/>
      <c r="D428" s="9"/>
      <c r="E428" s="9"/>
      <c r="F428" s="9"/>
      <c r="G428" s="9"/>
      <c r="H428" s="9"/>
      <c r="I428" s="9" t="s">
        <v>1316</v>
      </c>
      <c r="J428" s="9" t="s">
        <v>673</v>
      </c>
      <c r="K428" s="9" t="s">
        <v>226</v>
      </c>
      <c r="L428" s="9" t="s">
        <v>225</v>
      </c>
      <c r="M428" s="9" t="s">
        <v>225</v>
      </c>
      <c r="O428" s="22" t="s">
        <v>1316</v>
      </c>
      <c r="P428" s="23" t="s">
        <v>673</v>
      </c>
      <c r="Q428" s="23" t="s">
        <v>226</v>
      </c>
      <c r="R428" s="23" t="s">
        <v>225</v>
      </c>
      <c r="S428" s="24" t="s">
        <v>225</v>
      </c>
    </row>
    <row r="429" spans="1:19" ht="15.75" customHeight="1" x14ac:dyDescent="0.2">
      <c r="A429" s="9"/>
      <c r="B429" s="10"/>
      <c r="C429" s="9"/>
      <c r="D429" s="9"/>
      <c r="E429" s="9"/>
      <c r="F429" s="9"/>
      <c r="G429" s="9"/>
      <c r="H429" s="9"/>
      <c r="I429" s="9" t="s">
        <v>1317</v>
      </c>
      <c r="J429" s="9" t="s">
        <v>43</v>
      </c>
      <c r="K429" s="9" t="s">
        <v>226</v>
      </c>
      <c r="L429" s="9" t="s">
        <v>225</v>
      </c>
      <c r="M429" s="9" t="s">
        <v>225</v>
      </c>
      <c r="O429" s="22" t="s">
        <v>1317</v>
      </c>
      <c r="P429" s="23" t="s">
        <v>43</v>
      </c>
      <c r="Q429" s="23" t="s">
        <v>226</v>
      </c>
      <c r="R429" s="23" t="s">
        <v>225</v>
      </c>
      <c r="S429" s="24" t="s">
        <v>225</v>
      </c>
    </row>
    <row r="430" spans="1:19" ht="15.75" customHeight="1" x14ac:dyDescent="0.2">
      <c r="A430" s="9"/>
      <c r="B430" s="10"/>
      <c r="C430" s="9"/>
      <c r="D430" s="9"/>
      <c r="E430" s="9"/>
      <c r="F430" s="9"/>
      <c r="G430" s="9"/>
      <c r="H430" s="9"/>
      <c r="I430" s="9" t="s">
        <v>1318</v>
      </c>
      <c r="J430" s="9" t="s">
        <v>33</v>
      </c>
      <c r="K430" s="9" t="s">
        <v>226</v>
      </c>
      <c r="L430" s="9" t="s">
        <v>225</v>
      </c>
      <c r="M430" s="9" t="s">
        <v>225</v>
      </c>
      <c r="O430" s="22" t="s">
        <v>1318</v>
      </c>
      <c r="P430" s="23" t="s">
        <v>33</v>
      </c>
      <c r="Q430" s="23" t="s">
        <v>226</v>
      </c>
      <c r="R430" s="23" t="s">
        <v>225</v>
      </c>
      <c r="S430" s="24" t="s">
        <v>225</v>
      </c>
    </row>
    <row r="431" spans="1:19" ht="15.75" customHeight="1" x14ac:dyDescent="0.2">
      <c r="A431" s="9"/>
      <c r="B431" s="10"/>
      <c r="C431" s="9"/>
      <c r="D431" s="9"/>
      <c r="E431" s="9"/>
      <c r="F431" s="9"/>
      <c r="G431" s="9"/>
      <c r="H431" s="9"/>
      <c r="I431" s="9" t="s">
        <v>1319</v>
      </c>
      <c r="J431" s="9" t="s">
        <v>1056</v>
      </c>
      <c r="K431" s="9" t="s">
        <v>225</v>
      </c>
      <c r="L431" s="9" t="s">
        <v>225</v>
      </c>
      <c r="M431" s="9" t="s">
        <v>225</v>
      </c>
      <c r="O431" s="22" t="s">
        <v>1319</v>
      </c>
      <c r="P431" s="23" t="s">
        <v>1056</v>
      </c>
      <c r="Q431" s="23" t="s">
        <v>225</v>
      </c>
      <c r="R431" s="23" t="s">
        <v>225</v>
      </c>
      <c r="S431" s="24" t="s">
        <v>225</v>
      </c>
    </row>
    <row r="432" spans="1:19" ht="15.75" customHeight="1" x14ac:dyDescent="0.2">
      <c r="A432" s="9"/>
      <c r="B432" s="10"/>
      <c r="C432" s="9"/>
      <c r="D432" s="9"/>
      <c r="E432" s="9"/>
      <c r="F432" s="9"/>
      <c r="G432" s="9"/>
      <c r="H432" s="9"/>
      <c r="I432" s="9" t="s">
        <v>1320</v>
      </c>
      <c r="J432" s="9" t="s">
        <v>43</v>
      </c>
      <c r="K432" s="9" t="s">
        <v>226</v>
      </c>
      <c r="L432" s="9" t="s">
        <v>225</v>
      </c>
      <c r="M432" s="9" t="s">
        <v>225</v>
      </c>
      <c r="O432" s="22" t="s">
        <v>1320</v>
      </c>
      <c r="P432" s="23" t="s">
        <v>43</v>
      </c>
      <c r="Q432" s="23" t="s">
        <v>226</v>
      </c>
      <c r="R432" s="23" t="s">
        <v>225</v>
      </c>
      <c r="S432" s="24" t="s">
        <v>225</v>
      </c>
    </row>
    <row r="433" spans="1:19" ht="15.75" customHeight="1" x14ac:dyDescent="0.2">
      <c r="A433" s="9"/>
      <c r="B433" s="10"/>
      <c r="C433" s="9"/>
      <c r="D433" s="9"/>
      <c r="E433" s="9"/>
      <c r="F433" s="9"/>
      <c r="G433" s="9"/>
      <c r="H433" s="9"/>
      <c r="I433" s="9" t="s">
        <v>1321</v>
      </c>
      <c r="J433" s="9" t="s">
        <v>1059</v>
      </c>
      <c r="K433" s="9" t="s">
        <v>226</v>
      </c>
      <c r="L433" s="9" t="s">
        <v>225</v>
      </c>
      <c r="M433" s="9" t="s">
        <v>225</v>
      </c>
      <c r="O433" s="22" t="s">
        <v>1321</v>
      </c>
      <c r="P433" s="23" t="s">
        <v>1059</v>
      </c>
      <c r="Q433" s="23" t="s">
        <v>226</v>
      </c>
      <c r="R433" s="23" t="s">
        <v>225</v>
      </c>
      <c r="S433" s="24" t="s">
        <v>225</v>
      </c>
    </row>
    <row r="434" spans="1:19" ht="15.75" customHeight="1" x14ac:dyDescent="0.2">
      <c r="A434" s="9"/>
      <c r="B434" s="10"/>
      <c r="C434" s="9"/>
      <c r="D434" s="9"/>
      <c r="E434" s="9"/>
      <c r="F434" s="9"/>
      <c r="G434" s="9"/>
      <c r="H434" s="9"/>
      <c r="I434" s="9" t="s">
        <v>1322</v>
      </c>
      <c r="J434" s="9" t="s">
        <v>43</v>
      </c>
      <c r="K434" s="9" t="s">
        <v>226</v>
      </c>
      <c r="L434" s="9" t="s">
        <v>225</v>
      </c>
      <c r="M434" s="9" t="s">
        <v>225</v>
      </c>
      <c r="O434" s="22" t="s">
        <v>1322</v>
      </c>
      <c r="P434" s="23" t="s">
        <v>43</v>
      </c>
      <c r="Q434" s="23" t="s">
        <v>226</v>
      </c>
      <c r="R434" s="23" t="s">
        <v>225</v>
      </c>
      <c r="S434" s="24" t="s">
        <v>225</v>
      </c>
    </row>
    <row r="435" spans="1:19" ht="15.75" customHeight="1" x14ac:dyDescent="0.2">
      <c r="A435" s="9"/>
      <c r="B435" s="10"/>
      <c r="C435" s="9"/>
      <c r="D435" s="9"/>
      <c r="E435" s="9"/>
      <c r="F435" s="9"/>
      <c r="G435" s="9"/>
      <c r="H435" s="9"/>
      <c r="I435" s="9" t="s">
        <v>1323</v>
      </c>
      <c r="J435" s="9" t="s">
        <v>33</v>
      </c>
      <c r="K435" s="9" t="s">
        <v>226</v>
      </c>
      <c r="L435" s="9" t="s">
        <v>225</v>
      </c>
      <c r="M435" s="9" t="s">
        <v>225</v>
      </c>
      <c r="O435" s="22" t="s">
        <v>1323</v>
      </c>
      <c r="P435" s="23" t="s">
        <v>33</v>
      </c>
      <c r="Q435" s="23" t="s">
        <v>226</v>
      </c>
      <c r="R435" s="23" t="s">
        <v>225</v>
      </c>
      <c r="S435" s="24" t="s">
        <v>225</v>
      </c>
    </row>
    <row r="436" spans="1:19" ht="15.75" customHeight="1" x14ac:dyDescent="0.2">
      <c r="A436" s="9"/>
      <c r="B436" s="10"/>
      <c r="C436" s="9"/>
      <c r="D436" s="9"/>
      <c r="E436" s="9"/>
      <c r="F436" s="9"/>
      <c r="G436" s="9"/>
      <c r="H436" s="9"/>
      <c r="I436" s="9" t="s">
        <v>1324</v>
      </c>
      <c r="J436" s="9" t="s">
        <v>43</v>
      </c>
      <c r="K436" s="9" t="s">
        <v>225</v>
      </c>
      <c r="L436" s="9" t="s">
        <v>225</v>
      </c>
      <c r="M436" s="9" t="s">
        <v>225</v>
      </c>
      <c r="O436" s="22" t="s">
        <v>1324</v>
      </c>
      <c r="P436" s="23" t="s">
        <v>43</v>
      </c>
      <c r="Q436" s="23" t="s">
        <v>225</v>
      </c>
      <c r="R436" s="23" t="s">
        <v>225</v>
      </c>
      <c r="S436" s="24" t="s">
        <v>225</v>
      </c>
    </row>
    <row r="437" spans="1:19" ht="15.75" customHeight="1" x14ac:dyDescent="0.2">
      <c r="A437" s="9"/>
      <c r="B437" s="10"/>
      <c r="C437" s="9"/>
      <c r="D437" s="9"/>
      <c r="E437" s="9"/>
      <c r="F437" s="9"/>
      <c r="G437" s="9"/>
      <c r="H437" s="9"/>
      <c r="I437" s="9" t="s">
        <v>1325</v>
      </c>
      <c r="J437" s="9" t="s">
        <v>1059</v>
      </c>
      <c r="K437" s="9" t="s">
        <v>226</v>
      </c>
      <c r="L437" s="9" t="s">
        <v>225</v>
      </c>
      <c r="M437" s="9" t="s">
        <v>225</v>
      </c>
      <c r="O437" s="22" t="s">
        <v>1325</v>
      </c>
      <c r="P437" s="23" t="s">
        <v>1059</v>
      </c>
      <c r="Q437" s="23" t="s">
        <v>226</v>
      </c>
      <c r="R437" s="23" t="s">
        <v>225</v>
      </c>
      <c r="S437" s="24" t="s">
        <v>225</v>
      </c>
    </row>
    <row r="438" spans="1:19" ht="15.75" customHeight="1" x14ac:dyDescent="0.2">
      <c r="A438" s="9"/>
      <c r="B438" s="10"/>
      <c r="C438" s="9"/>
      <c r="D438" s="9"/>
      <c r="E438" s="9"/>
      <c r="F438" s="9"/>
      <c r="G438" s="9"/>
      <c r="H438" s="9"/>
      <c r="I438" s="9" t="s">
        <v>1326</v>
      </c>
      <c r="J438" s="9" t="s">
        <v>1059</v>
      </c>
      <c r="K438" s="9" t="s">
        <v>226</v>
      </c>
      <c r="L438" s="9" t="s">
        <v>225</v>
      </c>
      <c r="M438" s="9" t="s">
        <v>225</v>
      </c>
      <c r="O438" s="22" t="s">
        <v>1326</v>
      </c>
      <c r="P438" s="23" t="s">
        <v>1059</v>
      </c>
      <c r="Q438" s="23" t="s">
        <v>226</v>
      </c>
      <c r="R438" s="23" t="s">
        <v>225</v>
      </c>
      <c r="S438" s="24" t="s">
        <v>225</v>
      </c>
    </row>
    <row r="439" spans="1:19" ht="15.75" customHeight="1" x14ac:dyDescent="0.2">
      <c r="A439" s="9"/>
      <c r="B439" s="10"/>
      <c r="C439" s="9"/>
      <c r="D439" s="9"/>
      <c r="E439" s="9"/>
      <c r="F439" s="9"/>
      <c r="G439" s="9"/>
      <c r="H439" s="9"/>
      <c r="I439" s="9" t="s">
        <v>1327</v>
      </c>
      <c r="J439" s="9" t="s">
        <v>43</v>
      </c>
      <c r="K439" s="9" t="s">
        <v>226</v>
      </c>
      <c r="L439" s="9" t="s">
        <v>225</v>
      </c>
      <c r="M439" s="9" t="s">
        <v>225</v>
      </c>
      <c r="O439" s="22" t="s">
        <v>1327</v>
      </c>
      <c r="P439" s="23" t="s">
        <v>43</v>
      </c>
      <c r="Q439" s="23" t="s">
        <v>226</v>
      </c>
      <c r="R439" s="23" t="s">
        <v>225</v>
      </c>
      <c r="S439" s="24" t="s">
        <v>225</v>
      </c>
    </row>
    <row r="440" spans="1:19" ht="15.75" customHeight="1" x14ac:dyDescent="0.2">
      <c r="A440" s="9"/>
      <c r="B440" s="10"/>
      <c r="C440" s="9"/>
      <c r="D440" s="9"/>
      <c r="E440" s="9"/>
      <c r="F440" s="9"/>
      <c r="G440" s="9"/>
      <c r="H440" s="9"/>
      <c r="I440" s="9" t="s">
        <v>1328</v>
      </c>
      <c r="J440" s="9" t="s">
        <v>33</v>
      </c>
      <c r="K440" s="9" t="s">
        <v>226</v>
      </c>
      <c r="L440" s="9" t="s">
        <v>225</v>
      </c>
      <c r="M440" s="9" t="s">
        <v>225</v>
      </c>
      <c r="O440" s="22" t="s">
        <v>1328</v>
      </c>
      <c r="P440" s="23" t="s">
        <v>33</v>
      </c>
      <c r="Q440" s="23" t="s">
        <v>226</v>
      </c>
      <c r="R440" s="23" t="s">
        <v>225</v>
      </c>
      <c r="S440" s="24" t="s">
        <v>225</v>
      </c>
    </row>
    <row r="441" spans="1:19" ht="15.75" customHeight="1" x14ac:dyDescent="0.2">
      <c r="A441" s="9"/>
      <c r="B441" s="10"/>
      <c r="C441" s="9"/>
      <c r="D441" s="9"/>
      <c r="E441" s="9"/>
      <c r="F441" s="9"/>
      <c r="G441" s="9"/>
      <c r="H441" s="9"/>
      <c r="I441" s="9" t="s">
        <v>1329</v>
      </c>
      <c r="J441" s="9" t="s">
        <v>43</v>
      </c>
      <c r="K441" s="9" t="s">
        <v>225</v>
      </c>
      <c r="L441" s="9" t="s">
        <v>225</v>
      </c>
      <c r="M441" s="9" t="s">
        <v>225</v>
      </c>
      <c r="O441" s="22" t="s">
        <v>1329</v>
      </c>
      <c r="P441" s="23" t="s">
        <v>43</v>
      </c>
      <c r="Q441" s="23" t="s">
        <v>225</v>
      </c>
      <c r="R441" s="23" t="s">
        <v>225</v>
      </c>
      <c r="S441" s="24" t="s">
        <v>225</v>
      </c>
    </row>
    <row r="442" spans="1:19" ht="15.75" customHeight="1" x14ac:dyDescent="0.2">
      <c r="A442" s="9"/>
      <c r="B442" s="10"/>
      <c r="C442" s="9"/>
      <c r="D442" s="9"/>
      <c r="E442" s="9"/>
      <c r="F442" s="9"/>
      <c r="G442" s="9"/>
      <c r="H442" s="9"/>
      <c r="I442" s="9" t="s">
        <v>1330</v>
      </c>
      <c r="J442" s="9" t="s">
        <v>43</v>
      </c>
      <c r="K442" s="9" t="s">
        <v>226</v>
      </c>
      <c r="L442" s="9" t="s">
        <v>225</v>
      </c>
      <c r="M442" s="9" t="s">
        <v>225</v>
      </c>
      <c r="O442" s="22" t="s">
        <v>1330</v>
      </c>
      <c r="P442" s="23" t="s">
        <v>43</v>
      </c>
      <c r="Q442" s="23" t="s">
        <v>226</v>
      </c>
      <c r="R442" s="23" t="s">
        <v>225</v>
      </c>
      <c r="S442" s="24" t="s">
        <v>225</v>
      </c>
    </row>
    <row r="443" spans="1:19" ht="15.75" customHeight="1" x14ac:dyDescent="0.2">
      <c r="A443" s="9"/>
      <c r="B443" s="10"/>
      <c r="C443" s="9"/>
      <c r="D443" s="9"/>
      <c r="E443" s="9"/>
      <c r="F443" s="9"/>
      <c r="G443" s="9"/>
      <c r="H443" s="9"/>
      <c r="I443" s="9" t="s">
        <v>1331</v>
      </c>
      <c r="J443" s="9" t="s">
        <v>43</v>
      </c>
      <c r="K443" s="9" t="s">
        <v>226</v>
      </c>
      <c r="L443" s="9" t="s">
        <v>225</v>
      </c>
      <c r="M443" s="9" t="s">
        <v>225</v>
      </c>
      <c r="O443" s="22" t="s">
        <v>1331</v>
      </c>
      <c r="P443" s="23" t="s">
        <v>43</v>
      </c>
      <c r="Q443" s="23" t="s">
        <v>226</v>
      </c>
      <c r="R443" s="23" t="s">
        <v>225</v>
      </c>
      <c r="S443" s="24" t="s">
        <v>225</v>
      </c>
    </row>
    <row r="444" spans="1:19" ht="15.75" customHeight="1" x14ac:dyDescent="0.2">
      <c r="A444" s="9"/>
      <c r="B444" s="10"/>
      <c r="C444" s="9"/>
      <c r="D444" s="9"/>
      <c r="E444" s="9"/>
      <c r="F444" s="9"/>
      <c r="G444" s="9"/>
      <c r="H444" s="9"/>
      <c r="I444" s="9" t="s">
        <v>1332</v>
      </c>
      <c r="J444" s="9" t="s">
        <v>43</v>
      </c>
      <c r="K444" s="9" t="s">
        <v>226</v>
      </c>
      <c r="L444" s="9" t="s">
        <v>225</v>
      </c>
      <c r="M444" s="9" t="s">
        <v>225</v>
      </c>
      <c r="O444" s="22" t="s">
        <v>1332</v>
      </c>
      <c r="P444" s="23" t="s">
        <v>43</v>
      </c>
      <c r="Q444" s="23" t="s">
        <v>226</v>
      </c>
      <c r="R444" s="23" t="s">
        <v>225</v>
      </c>
      <c r="S444" s="24" t="s">
        <v>225</v>
      </c>
    </row>
    <row r="445" spans="1:19" ht="15.75" customHeight="1" x14ac:dyDescent="0.2">
      <c r="A445" s="9"/>
      <c r="B445" s="10"/>
      <c r="C445" s="9"/>
      <c r="D445" s="9"/>
      <c r="E445" s="9"/>
      <c r="F445" s="9"/>
      <c r="G445" s="9"/>
      <c r="H445" s="9"/>
      <c r="I445" s="9" t="s">
        <v>1333</v>
      </c>
      <c r="J445" s="9" t="s">
        <v>43</v>
      </c>
      <c r="K445" s="9" t="s">
        <v>226</v>
      </c>
      <c r="L445" s="9" t="s">
        <v>225</v>
      </c>
      <c r="M445" s="9" t="s">
        <v>225</v>
      </c>
      <c r="O445" s="22" t="s">
        <v>1333</v>
      </c>
      <c r="P445" s="23" t="s">
        <v>43</v>
      </c>
      <c r="Q445" s="23" t="s">
        <v>226</v>
      </c>
      <c r="R445" s="23" t="s">
        <v>225</v>
      </c>
      <c r="S445" s="24" t="s">
        <v>225</v>
      </c>
    </row>
    <row r="446" spans="1:19" ht="15.75" customHeight="1" x14ac:dyDescent="0.2">
      <c r="A446" s="9"/>
      <c r="B446" s="10"/>
      <c r="C446" s="9"/>
      <c r="D446" s="9"/>
      <c r="E446" s="9"/>
      <c r="F446" s="9"/>
      <c r="G446" s="9"/>
      <c r="H446" s="9"/>
      <c r="I446" s="9" t="s">
        <v>1334</v>
      </c>
      <c r="J446" s="9" t="s">
        <v>43</v>
      </c>
      <c r="K446" s="9" t="s">
        <v>226</v>
      </c>
      <c r="L446" s="9" t="s">
        <v>225</v>
      </c>
      <c r="M446" s="9" t="s">
        <v>225</v>
      </c>
      <c r="O446" s="22" t="s">
        <v>1334</v>
      </c>
      <c r="P446" s="23" t="s">
        <v>43</v>
      </c>
      <c r="Q446" s="23" t="s">
        <v>226</v>
      </c>
      <c r="R446" s="23" t="s">
        <v>225</v>
      </c>
      <c r="S446" s="24" t="s">
        <v>225</v>
      </c>
    </row>
    <row r="447" spans="1:19" ht="15.75" customHeight="1" x14ac:dyDescent="0.2">
      <c r="A447" s="9"/>
      <c r="B447" s="10"/>
      <c r="C447" s="9"/>
      <c r="D447" s="9"/>
      <c r="E447" s="9"/>
      <c r="F447" s="9"/>
      <c r="G447" s="9"/>
      <c r="H447" s="9"/>
      <c r="I447" s="9" t="s">
        <v>1335</v>
      </c>
      <c r="J447" s="9" t="s">
        <v>43</v>
      </c>
      <c r="K447" s="9" t="s">
        <v>226</v>
      </c>
      <c r="L447" s="9" t="s">
        <v>225</v>
      </c>
      <c r="M447" s="9" t="s">
        <v>225</v>
      </c>
      <c r="O447" s="22" t="s">
        <v>1335</v>
      </c>
      <c r="P447" s="23" t="s">
        <v>43</v>
      </c>
      <c r="Q447" s="23" t="s">
        <v>226</v>
      </c>
      <c r="R447" s="23" t="s">
        <v>225</v>
      </c>
      <c r="S447" s="24" t="s">
        <v>225</v>
      </c>
    </row>
    <row r="448" spans="1:19" ht="15.75" customHeight="1" x14ac:dyDescent="0.2">
      <c r="A448" s="9"/>
      <c r="B448" s="10"/>
      <c r="C448" s="9"/>
      <c r="D448" s="9"/>
      <c r="E448" s="9"/>
      <c r="F448" s="9"/>
      <c r="G448" s="9"/>
      <c r="H448" s="9"/>
      <c r="I448" s="9" t="s">
        <v>1336</v>
      </c>
      <c r="J448" s="9" t="s">
        <v>43</v>
      </c>
      <c r="K448" s="9" t="s">
        <v>226</v>
      </c>
      <c r="L448" s="9" t="s">
        <v>225</v>
      </c>
      <c r="M448" s="9" t="s">
        <v>225</v>
      </c>
      <c r="O448" s="22" t="s">
        <v>1336</v>
      </c>
      <c r="P448" s="23" t="s">
        <v>43</v>
      </c>
      <c r="Q448" s="23" t="s">
        <v>226</v>
      </c>
      <c r="R448" s="23" t="s">
        <v>225</v>
      </c>
      <c r="S448" s="24" t="s">
        <v>225</v>
      </c>
    </row>
    <row r="449" spans="1:19" ht="15.75" customHeight="1" x14ac:dyDescent="0.2">
      <c r="A449" s="9"/>
      <c r="B449" s="10"/>
      <c r="C449" s="9"/>
      <c r="D449" s="9"/>
      <c r="E449" s="9"/>
      <c r="F449" s="9"/>
      <c r="G449" s="9"/>
      <c r="H449" s="9"/>
      <c r="I449" s="9" t="s">
        <v>1337</v>
      </c>
      <c r="J449" s="9" t="s">
        <v>43</v>
      </c>
      <c r="K449" s="9" t="s">
        <v>225</v>
      </c>
      <c r="L449" s="9" t="s">
        <v>225</v>
      </c>
      <c r="M449" s="9" t="s">
        <v>225</v>
      </c>
      <c r="O449" s="22" t="s">
        <v>1337</v>
      </c>
      <c r="P449" s="23" t="s">
        <v>43</v>
      </c>
      <c r="Q449" s="23" t="s">
        <v>225</v>
      </c>
      <c r="R449" s="23" t="s">
        <v>225</v>
      </c>
      <c r="S449" s="24" t="s">
        <v>225</v>
      </c>
    </row>
    <row r="450" spans="1:19" ht="15.75" customHeight="1" x14ac:dyDescent="0.2">
      <c r="A450" s="9"/>
      <c r="B450" s="10"/>
      <c r="C450" s="9"/>
      <c r="D450" s="9"/>
      <c r="E450" s="9"/>
      <c r="F450" s="9"/>
      <c r="G450" s="9"/>
      <c r="H450" s="9"/>
      <c r="I450" s="9" t="s">
        <v>1338</v>
      </c>
      <c r="J450" s="9" t="s">
        <v>43</v>
      </c>
      <c r="K450" s="9" t="s">
        <v>225</v>
      </c>
      <c r="L450" s="9" t="s">
        <v>225</v>
      </c>
      <c r="M450" s="9" t="s">
        <v>225</v>
      </c>
      <c r="O450" s="22" t="s">
        <v>1338</v>
      </c>
      <c r="P450" s="23" t="s">
        <v>43</v>
      </c>
      <c r="Q450" s="23" t="s">
        <v>225</v>
      </c>
      <c r="R450" s="23" t="s">
        <v>225</v>
      </c>
      <c r="S450" s="24" t="s">
        <v>225</v>
      </c>
    </row>
    <row r="451" spans="1:19" ht="15.75" customHeight="1" x14ac:dyDescent="0.2">
      <c r="A451" s="9"/>
      <c r="B451" s="10"/>
      <c r="C451" s="9"/>
      <c r="D451" s="9"/>
      <c r="E451" s="9"/>
      <c r="F451" s="9"/>
      <c r="G451" s="9"/>
      <c r="H451" s="9"/>
      <c r="I451" s="9" t="s">
        <v>1339</v>
      </c>
      <c r="J451" s="9" t="s">
        <v>43</v>
      </c>
      <c r="K451" s="9" t="s">
        <v>225</v>
      </c>
      <c r="L451" s="9" t="s">
        <v>225</v>
      </c>
      <c r="M451" s="9" t="s">
        <v>225</v>
      </c>
      <c r="O451" s="22" t="s">
        <v>1339</v>
      </c>
      <c r="P451" s="23" t="s">
        <v>43</v>
      </c>
      <c r="Q451" s="23" t="s">
        <v>225</v>
      </c>
      <c r="R451" s="23" t="s">
        <v>225</v>
      </c>
      <c r="S451" s="24" t="s">
        <v>225</v>
      </c>
    </row>
    <row r="452" spans="1:19" ht="15.75" customHeight="1" x14ac:dyDescent="0.2">
      <c r="A452" s="9"/>
      <c r="B452" s="10"/>
      <c r="C452" s="9"/>
      <c r="D452" s="9"/>
      <c r="E452" s="9"/>
      <c r="F452" s="9"/>
      <c r="G452" s="9"/>
      <c r="H452" s="9"/>
      <c r="I452" s="9" t="s">
        <v>1340</v>
      </c>
      <c r="J452" s="9" t="s">
        <v>43</v>
      </c>
      <c r="K452" s="9" t="s">
        <v>226</v>
      </c>
      <c r="L452" s="9" t="s">
        <v>225</v>
      </c>
      <c r="M452" s="9" t="s">
        <v>225</v>
      </c>
      <c r="O452" s="22" t="s">
        <v>1340</v>
      </c>
      <c r="P452" s="23" t="s">
        <v>43</v>
      </c>
      <c r="Q452" s="23" t="s">
        <v>226</v>
      </c>
      <c r="R452" s="23" t="s">
        <v>225</v>
      </c>
      <c r="S452" s="24" t="s">
        <v>225</v>
      </c>
    </row>
    <row r="453" spans="1:19" ht="15.75" customHeight="1" x14ac:dyDescent="0.2">
      <c r="A453" s="9"/>
      <c r="B453" s="10"/>
      <c r="C453" s="9"/>
      <c r="D453" s="9"/>
      <c r="E453" s="9"/>
      <c r="F453" s="9"/>
      <c r="G453" s="9"/>
      <c r="H453" s="9"/>
      <c r="I453" s="9" t="s">
        <v>1341</v>
      </c>
      <c r="J453" s="9" t="s">
        <v>33</v>
      </c>
      <c r="K453" s="9" t="s">
        <v>225</v>
      </c>
      <c r="L453" s="9" t="s">
        <v>225</v>
      </c>
      <c r="M453" s="9" t="s">
        <v>225</v>
      </c>
      <c r="O453" s="22" t="s">
        <v>1341</v>
      </c>
      <c r="P453" s="23" t="s">
        <v>33</v>
      </c>
      <c r="Q453" s="23" t="s">
        <v>225</v>
      </c>
      <c r="R453" s="23" t="s">
        <v>225</v>
      </c>
      <c r="S453" s="24" t="s">
        <v>225</v>
      </c>
    </row>
    <row r="454" spans="1:19" ht="15.75" customHeight="1" x14ac:dyDescent="0.2">
      <c r="A454" s="9"/>
      <c r="B454" s="10"/>
      <c r="C454" s="9"/>
      <c r="D454" s="9"/>
      <c r="E454" s="9"/>
      <c r="F454" s="9"/>
      <c r="G454" s="9"/>
      <c r="H454" s="9"/>
      <c r="I454" s="9" t="s">
        <v>1342</v>
      </c>
      <c r="J454" s="9" t="s">
        <v>1343</v>
      </c>
      <c r="K454" s="9" t="s">
        <v>225</v>
      </c>
      <c r="L454" s="9" t="s">
        <v>225</v>
      </c>
      <c r="M454" s="9" t="s">
        <v>225</v>
      </c>
      <c r="O454" s="22" t="s">
        <v>1342</v>
      </c>
      <c r="P454" s="23" t="s">
        <v>1343</v>
      </c>
      <c r="Q454" s="23" t="s">
        <v>225</v>
      </c>
      <c r="R454" s="23" t="s">
        <v>225</v>
      </c>
      <c r="S454" s="24" t="s">
        <v>225</v>
      </c>
    </row>
    <row r="455" spans="1:19" ht="15.75" customHeight="1" x14ac:dyDescent="0.2">
      <c r="A455" s="9"/>
      <c r="B455" s="10"/>
      <c r="C455" s="9"/>
      <c r="D455" s="9"/>
      <c r="E455" s="9"/>
      <c r="F455" s="9"/>
      <c r="G455" s="9"/>
      <c r="H455" s="9"/>
      <c r="I455" s="9" t="s">
        <v>1344</v>
      </c>
      <c r="J455" s="9" t="s">
        <v>33</v>
      </c>
      <c r="K455" s="9" t="s">
        <v>226</v>
      </c>
      <c r="L455" s="9" t="s">
        <v>225</v>
      </c>
      <c r="M455" s="9" t="s">
        <v>225</v>
      </c>
      <c r="O455" s="22" t="s">
        <v>1344</v>
      </c>
      <c r="P455" s="23" t="s">
        <v>33</v>
      </c>
      <c r="Q455" s="23" t="s">
        <v>226</v>
      </c>
      <c r="R455" s="23" t="s">
        <v>225</v>
      </c>
      <c r="S455" s="24" t="s">
        <v>225</v>
      </c>
    </row>
    <row r="456" spans="1:19" ht="15.75" customHeight="1" x14ac:dyDescent="0.2">
      <c r="A456" s="9"/>
      <c r="B456" s="10"/>
      <c r="C456" s="9"/>
      <c r="D456" s="9"/>
      <c r="E456" s="9"/>
      <c r="F456" s="9"/>
      <c r="G456" s="9"/>
      <c r="H456" s="9"/>
      <c r="I456" s="9" t="s">
        <v>1345</v>
      </c>
      <c r="J456" s="9" t="s">
        <v>1343</v>
      </c>
      <c r="K456" s="9" t="s">
        <v>225</v>
      </c>
      <c r="L456" s="9" t="s">
        <v>225</v>
      </c>
      <c r="M456" s="9" t="s">
        <v>225</v>
      </c>
      <c r="O456" s="22" t="s">
        <v>1345</v>
      </c>
      <c r="P456" s="23" t="s">
        <v>1343</v>
      </c>
      <c r="Q456" s="23" t="s">
        <v>225</v>
      </c>
      <c r="R456" s="23" t="s">
        <v>225</v>
      </c>
      <c r="S456" s="24" t="s">
        <v>225</v>
      </c>
    </row>
    <row r="457" spans="1:19" ht="15.75" customHeight="1" x14ac:dyDescent="0.2">
      <c r="A457" s="9"/>
      <c r="B457" s="10"/>
      <c r="C457" s="9"/>
      <c r="D457" s="9"/>
      <c r="E457" s="9"/>
      <c r="F457" s="9"/>
      <c r="G457" s="9"/>
      <c r="H457" s="9"/>
      <c r="I457" s="9" t="s">
        <v>1346</v>
      </c>
      <c r="J457" s="9" t="s">
        <v>1056</v>
      </c>
      <c r="K457" s="9" t="s">
        <v>226</v>
      </c>
      <c r="L457" s="9" t="s">
        <v>225</v>
      </c>
      <c r="M457" s="9" t="s">
        <v>225</v>
      </c>
      <c r="O457" s="22" t="s">
        <v>1346</v>
      </c>
      <c r="P457" s="23" t="s">
        <v>1056</v>
      </c>
      <c r="Q457" s="23" t="s">
        <v>226</v>
      </c>
      <c r="R457" s="23" t="s">
        <v>225</v>
      </c>
      <c r="S457" s="24" t="s">
        <v>225</v>
      </c>
    </row>
    <row r="458" spans="1:19" ht="15.75" customHeight="1" x14ac:dyDescent="0.2">
      <c r="A458" s="9"/>
      <c r="B458" s="10"/>
      <c r="C458" s="9"/>
      <c r="D458" s="9"/>
      <c r="E458" s="9"/>
      <c r="F458" s="9"/>
      <c r="G458" s="9"/>
      <c r="H458" s="9"/>
      <c r="I458" s="9" t="s">
        <v>1347</v>
      </c>
      <c r="J458" s="9" t="s">
        <v>673</v>
      </c>
      <c r="K458" s="9" t="s">
        <v>226</v>
      </c>
      <c r="L458" s="9" t="s">
        <v>225</v>
      </c>
      <c r="M458" s="9" t="s">
        <v>225</v>
      </c>
      <c r="O458" s="22" t="s">
        <v>1347</v>
      </c>
      <c r="P458" s="23" t="s">
        <v>673</v>
      </c>
      <c r="Q458" s="23" t="s">
        <v>226</v>
      </c>
      <c r="R458" s="23" t="s">
        <v>225</v>
      </c>
      <c r="S458" s="24" t="s">
        <v>225</v>
      </c>
    </row>
    <row r="459" spans="1:19" ht="15.75" customHeight="1" x14ac:dyDescent="0.2">
      <c r="A459" s="9"/>
      <c r="B459" s="10"/>
      <c r="C459" s="9"/>
      <c r="D459" s="9"/>
      <c r="E459" s="9"/>
      <c r="F459" s="9"/>
      <c r="G459" s="9"/>
      <c r="H459" s="9"/>
      <c r="I459" s="9" t="s">
        <v>1348</v>
      </c>
      <c r="J459" s="9" t="s">
        <v>43</v>
      </c>
      <c r="K459" s="9" t="s">
        <v>226</v>
      </c>
      <c r="L459" s="9" t="s">
        <v>225</v>
      </c>
      <c r="M459" s="9" t="s">
        <v>225</v>
      </c>
      <c r="O459" s="22" t="s">
        <v>1348</v>
      </c>
      <c r="P459" s="23" t="s">
        <v>43</v>
      </c>
      <c r="Q459" s="23" t="s">
        <v>226</v>
      </c>
      <c r="R459" s="23" t="s">
        <v>225</v>
      </c>
      <c r="S459" s="24" t="s">
        <v>225</v>
      </c>
    </row>
    <row r="460" spans="1:19" ht="15.75" customHeight="1" x14ac:dyDescent="0.2">
      <c r="A460" s="9"/>
      <c r="B460" s="10"/>
      <c r="C460" s="9"/>
      <c r="D460" s="9"/>
      <c r="E460" s="9"/>
      <c r="F460" s="9"/>
      <c r="G460" s="9"/>
      <c r="H460" s="9"/>
      <c r="I460" s="9" t="s">
        <v>1349</v>
      </c>
      <c r="J460" s="9" t="s">
        <v>1343</v>
      </c>
      <c r="K460" s="9" t="s">
        <v>225</v>
      </c>
      <c r="L460" s="9" t="s">
        <v>225</v>
      </c>
      <c r="M460" s="9" t="s">
        <v>225</v>
      </c>
      <c r="O460" s="22" t="s">
        <v>1349</v>
      </c>
      <c r="P460" s="23" t="s">
        <v>1343</v>
      </c>
      <c r="Q460" s="23" t="s">
        <v>225</v>
      </c>
      <c r="R460" s="23" t="s">
        <v>225</v>
      </c>
      <c r="S460" s="24" t="s">
        <v>225</v>
      </c>
    </row>
    <row r="461" spans="1:19" ht="15.75" customHeight="1" x14ac:dyDescent="0.2">
      <c r="A461" s="9"/>
      <c r="B461" s="10"/>
      <c r="C461" s="9"/>
      <c r="D461" s="9"/>
      <c r="E461" s="9"/>
      <c r="F461" s="9"/>
      <c r="G461" s="9"/>
      <c r="H461" s="9"/>
      <c r="I461" s="9" t="s">
        <v>1350</v>
      </c>
      <c r="J461" s="9" t="s">
        <v>1343</v>
      </c>
      <c r="K461" s="9" t="s">
        <v>226</v>
      </c>
      <c r="L461" s="9" t="s">
        <v>225</v>
      </c>
      <c r="M461" s="9" t="s">
        <v>225</v>
      </c>
      <c r="O461" s="22" t="s">
        <v>1350</v>
      </c>
      <c r="P461" s="23" t="s">
        <v>1343</v>
      </c>
      <c r="Q461" s="23" t="s">
        <v>226</v>
      </c>
      <c r="R461" s="23" t="s">
        <v>225</v>
      </c>
      <c r="S461" s="24" t="s">
        <v>225</v>
      </c>
    </row>
    <row r="462" spans="1:19" ht="15.75" customHeight="1" x14ac:dyDescent="0.2">
      <c r="A462" s="9"/>
      <c r="B462" s="10"/>
      <c r="C462" s="9"/>
      <c r="D462" s="9"/>
      <c r="E462" s="9"/>
      <c r="F462" s="9"/>
      <c r="G462" s="9"/>
      <c r="H462" s="9"/>
      <c r="I462" s="9" t="s">
        <v>1351</v>
      </c>
      <c r="J462" s="9" t="s">
        <v>1343</v>
      </c>
      <c r="K462" s="9" t="s">
        <v>226</v>
      </c>
      <c r="L462" s="9" t="s">
        <v>225</v>
      </c>
      <c r="M462" s="9" t="s">
        <v>225</v>
      </c>
      <c r="O462" s="22" t="s">
        <v>1351</v>
      </c>
      <c r="P462" s="23" t="s">
        <v>1343</v>
      </c>
      <c r="Q462" s="23" t="s">
        <v>226</v>
      </c>
      <c r="R462" s="23" t="s">
        <v>225</v>
      </c>
      <c r="S462" s="24" t="s">
        <v>225</v>
      </c>
    </row>
    <row r="463" spans="1:19" ht="15.75" customHeight="1" x14ac:dyDescent="0.2">
      <c r="A463" s="9"/>
      <c r="B463" s="10"/>
      <c r="C463" s="9"/>
      <c r="D463" s="9"/>
      <c r="E463" s="9"/>
      <c r="F463" s="9"/>
      <c r="G463" s="9"/>
      <c r="H463" s="9"/>
      <c r="I463" s="9" t="s">
        <v>1352</v>
      </c>
      <c r="J463" s="9" t="s">
        <v>43</v>
      </c>
      <c r="K463" s="9" t="s">
        <v>226</v>
      </c>
      <c r="L463" s="9" t="s">
        <v>225</v>
      </c>
      <c r="M463" s="9" t="s">
        <v>225</v>
      </c>
      <c r="O463" s="22" t="s">
        <v>1352</v>
      </c>
      <c r="P463" s="23" t="s">
        <v>43</v>
      </c>
      <c r="Q463" s="23" t="s">
        <v>226</v>
      </c>
      <c r="R463" s="23" t="s">
        <v>225</v>
      </c>
      <c r="S463" s="24" t="s">
        <v>225</v>
      </c>
    </row>
    <row r="464" spans="1:19" ht="15.75" customHeight="1" x14ac:dyDescent="0.2">
      <c r="A464" s="9"/>
      <c r="B464" s="10"/>
      <c r="C464" s="9"/>
      <c r="D464" s="9"/>
      <c r="E464" s="9"/>
      <c r="F464" s="9"/>
      <c r="G464" s="9"/>
      <c r="H464" s="9"/>
      <c r="I464" s="9" t="s">
        <v>1353</v>
      </c>
      <c r="J464" s="9" t="s">
        <v>43</v>
      </c>
      <c r="K464" s="9" t="s">
        <v>225</v>
      </c>
      <c r="L464" s="9" t="s">
        <v>225</v>
      </c>
      <c r="M464" s="9" t="s">
        <v>226</v>
      </c>
      <c r="O464" s="22" t="s">
        <v>1353</v>
      </c>
      <c r="P464" s="23" t="s">
        <v>43</v>
      </c>
      <c r="Q464" s="23" t="s">
        <v>225</v>
      </c>
      <c r="R464" s="23" t="s">
        <v>225</v>
      </c>
      <c r="S464" s="24" t="s">
        <v>226</v>
      </c>
    </row>
    <row r="465" spans="1:19" ht="15.75" customHeight="1" x14ac:dyDescent="0.2">
      <c r="A465" s="9"/>
      <c r="B465" s="10"/>
      <c r="C465" s="9"/>
      <c r="D465" s="9"/>
      <c r="E465" s="9"/>
      <c r="F465" s="9"/>
      <c r="G465" s="9"/>
      <c r="H465" s="9"/>
      <c r="I465" s="9" t="s">
        <v>1354</v>
      </c>
      <c r="J465" s="9" t="s">
        <v>43</v>
      </c>
      <c r="K465" s="9" t="s">
        <v>225</v>
      </c>
      <c r="L465" s="9" t="s">
        <v>225</v>
      </c>
      <c r="M465" s="9" t="s">
        <v>226</v>
      </c>
      <c r="O465" s="22" t="s">
        <v>1354</v>
      </c>
      <c r="P465" s="23" t="s">
        <v>43</v>
      </c>
      <c r="Q465" s="23" t="s">
        <v>225</v>
      </c>
      <c r="R465" s="23" t="s">
        <v>225</v>
      </c>
      <c r="S465" s="24" t="s">
        <v>226</v>
      </c>
    </row>
    <row r="466" spans="1:19" ht="15.75" customHeight="1" x14ac:dyDescent="0.2">
      <c r="A466" s="9"/>
      <c r="B466" s="10"/>
      <c r="C466" s="9"/>
      <c r="D466" s="9"/>
      <c r="E466" s="9"/>
      <c r="F466" s="9"/>
      <c r="G466" s="9"/>
      <c r="H466" s="9"/>
      <c r="I466" s="9" t="s">
        <v>1355</v>
      </c>
      <c r="J466" s="9" t="s">
        <v>43</v>
      </c>
      <c r="K466" s="9" t="s">
        <v>225</v>
      </c>
      <c r="L466" s="9" t="s">
        <v>225</v>
      </c>
      <c r="M466" s="9" t="s">
        <v>226</v>
      </c>
      <c r="O466" s="22" t="s">
        <v>1355</v>
      </c>
      <c r="P466" s="23" t="s">
        <v>43</v>
      </c>
      <c r="Q466" s="23" t="s">
        <v>225</v>
      </c>
      <c r="R466" s="23" t="s">
        <v>225</v>
      </c>
      <c r="S466" s="24" t="s">
        <v>226</v>
      </c>
    </row>
    <row r="467" spans="1:19" ht="15.75" customHeight="1" x14ac:dyDescent="0.2">
      <c r="A467" s="9"/>
      <c r="B467" s="10"/>
      <c r="C467" s="9"/>
      <c r="D467" s="9"/>
      <c r="E467" s="9"/>
      <c r="F467" s="9"/>
      <c r="G467" s="9"/>
      <c r="H467" s="9"/>
      <c r="I467" s="9" t="s">
        <v>1356</v>
      </c>
      <c r="J467" s="9" t="s">
        <v>43</v>
      </c>
      <c r="K467" s="9" t="s">
        <v>225</v>
      </c>
      <c r="L467" s="9" t="s">
        <v>225</v>
      </c>
      <c r="M467" s="9" t="s">
        <v>226</v>
      </c>
      <c r="O467" s="22" t="s">
        <v>1356</v>
      </c>
      <c r="P467" s="23" t="s">
        <v>43</v>
      </c>
      <c r="Q467" s="23" t="s">
        <v>225</v>
      </c>
      <c r="R467" s="23" t="s">
        <v>225</v>
      </c>
      <c r="S467" s="24" t="s">
        <v>226</v>
      </c>
    </row>
    <row r="468" spans="1:19" ht="15.75" customHeight="1" x14ac:dyDescent="0.2">
      <c r="A468" s="9"/>
      <c r="B468" s="10"/>
      <c r="C468" s="9"/>
      <c r="D468" s="9"/>
      <c r="E468" s="9"/>
      <c r="F468" s="9"/>
      <c r="G468" s="9"/>
      <c r="H468" s="9"/>
      <c r="I468" s="9" t="s">
        <v>1357</v>
      </c>
      <c r="J468" s="9" t="s">
        <v>43</v>
      </c>
      <c r="K468" s="9" t="s">
        <v>225</v>
      </c>
      <c r="L468" s="9" t="s">
        <v>225</v>
      </c>
      <c r="M468" s="9" t="s">
        <v>226</v>
      </c>
      <c r="O468" s="22" t="s">
        <v>1357</v>
      </c>
      <c r="P468" s="23" t="s">
        <v>43</v>
      </c>
      <c r="Q468" s="23" t="s">
        <v>225</v>
      </c>
      <c r="R468" s="23" t="s">
        <v>225</v>
      </c>
      <c r="S468" s="24" t="s">
        <v>226</v>
      </c>
    </row>
    <row r="469" spans="1:19" ht="15.75" customHeight="1" x14ac:dyDescent="0.2">
      <c r="A469" s="9"/>
      <c r="B469" s="10"/>
      <c r="C469" s="9"/>
      <c r="D469" s="9"/>
      <c r="E469" s="9"/>
      <c r="F469" s="9"/>
      <c r="G469" s="9"/>
      <c r="H469" s="9"/>
      <c r="I469" s="9" t="s">
        <v>1358</v>
      </c>
      <c r="J469" s="9" t="s">
        <v>43</v>
      </c>
      <c r="K469" s="9" t="s">
        <v>225</v>
      </c>
      <c r="L469" s="9" t="s">
        <v>225</v>
      </c>
      <c r="M469" s="9" t="s">
        <v>226</v>
      </c>
      <c r="O469" s="22" t="s">
        <v>1358</v>
      </c>
      <c r="P469" s="23" t="s">
        <v>43</v>
      </c>
      <c r="Q469" s="23" t="s">
        <v>225</v>
      </c>
      <c r="R469" s="23" t="s">
        <v>225</v>
      </c>
      <c r="S469" s="24" t="s">
        <v>226</v>
      </c>
    </row>
    <row r="470" spans="1:19" ht="15.75" customHeight="1" x14ac:dyDescent="0.2">
      <c r="A470" s="9"/>
      <c r="B470" s="10"/>
      <c r="C470" s="9"/>
      <c r="D470" s="9"/>
      <c r="E470" s="9"/>
      <c r="F470" s="9"/>
      <c r="G470" s="9"/>
      <c r="H470" s="9"/>
      <c r="I470" s="9" t="s">
        <v>1359</v>
      </c>
      <c r="J470" s="9" t="s">
        <v>43</v>
      </c>
      <c r="K470" s="9" t="s">
        <v>225</v>
      </c>
      <c r="L470" s="9" t="s">
        <v>225</v>
      </c>
      <c r="M470" s="9" t="s">
        <v>225</v>
      </c>
      <c r="O470" s="22" t="s">
        <v>1359</v>
      </c>
      <c r="P470" s="23" t="s">
        <v>43</v>
      </c>
      <c r="Q470" s="23" t="s">
        <v>225</v>
      </c>
      <c r="R470" s="23" t="s">
        <v>225</v>
      </c>
      <c r="S470" s="24" t="s">
        <v>225</v>
      </c>
    </row>
    <row r="471" spans="1:19" ht="15.75" customHeight="1" x14ac:dyDescent="0.2">
      <c r="A471" s="9"/>
      <c r="B471" s="10"/>
      <c r="C471" s="9"/>
      <c r="D471" s="9"/>
      <c r="E471" s="9"/>
      <c r="F471" s="9"/>
      <c r="G471" s="9"/>
      <c r="H471" s="9"/>
      <c r="I471" s="9" t="s">
        <v>1360</v>
      </c>
      <c r="J471" s="9" t="s">
        <v>43</v>
      </c>
      <c r="K471" s="9" t="s">
        <v>225</v>
      </c>
      <c r="L471" s="9" t="s">
        <v>225</v>
      </c>
      <c r="M471" s="9" t="s">
        <v>225</v>
      </c>
      <c r="O471" s="22" t="s">
        <v>1360</v>
      </c>
      <c r="P471" s="23" t="s">
        <v>43</v>
      </c>
      <c r="Q471" s="23" t="s">
        <v>225</v>
      </c>
      <c r="R471" s="23" t="s">
        <v>225</v>
      </c>
      <c r="S471" s="24" t="s">
        <v>225</v>
      </c>
    </row>
    <row r="472" spans="1:19" ht="15.75" customHeight="1" x14ac:dyDescent="0.2">
      <c r="A472" s="9"/>
      <c r="B472" s="10"/>
      <c r="C472" s="9"/>
      <c r="D472" s="9"/>
      <c r="E472" s="9"/>
      <c r="F472" s="9"/>
      <c r="G472" s="9"/>
      <c r="H472" s="9"/>
      <c r="I472" s="9" t="s">
        <v>1361</v>
      </c>
      <c r="J472" s="9" t="s">
        <v>43</v>
      </c>
      <c r="K472" s="9" t="s">
        <v>226</v>
      </c>
      <c r="L472" s="9" t="s">
        <v>225</v>
      </c>
      <c r="M472" s="9" t="s">
        <v>225</v>
      </c>
      <c r="O472" s="22" t="s">
        <v>1361</v>
      </c>
      <c r="P472" s="23" t="s">
        <v>43</v>
      </c>
      <c r="Q472" s="23" t="s">
        <v>226</v>
      </c>
      <c r="R472" s="23" t="s">
        <v>225</v>
      </c>
      <c r="S472" s="24" t="s">
        <v>225</v>
      </c>
    </row>
    <row r="473" spans="1:19" ht="15.75" customHeight="1" x14ac:dyDescent="0.2">
      <c r="A473" s="9"/>
      <c r="B473" s="10"/>
      <c r="C473" s="9"/>
      <c r="D473" s="9"/>
      <c r="E473" s="9"/>
      <c r="F473" s="9"/>
      <c r="G473" s="9"/>
      <c r="H473" s="9"/>
      <c r="I473" s="9" t="s">
        <v>1362</v>
      </c>
      <c r="J473" s="9" t="s">
        <v>43</v>
      </c>
      <c r="K473" s="9" t="s">
        <v>226</v>
      </c>
      <c r="L473" s="9" t="s">
        <v>225</v>
      </c>
      <c r="M473" s="9" t="s">
        <v>225</v>
      </c>
      <c r="O473" s="22" t="s">
        <v>1362</v>
      </c>
      <c r="P473" s="23" t="s">
        <v>43</v>
      </c>
      <c r="Q473" s="23" t="s">
        <v>226</v>
      </c>
      <c r="R473" s="23" t="s">
        <v>225</v>
      </c>
      <c r="S473" s="24" t="s">
        <v>225</v>
      </c>
    </row>
    <row r="474" spans="1:19" ht="15.75" customHeight="1" x14ac:dyDescent="0.2">
      <c r="A474" s="9"/>
      <c r="B474" s="10"/>
      <c r="C474" s="9"/>
      <c r="D474" s="9"/>
      <c r="E474" s="9"/>
      <c r="F474" s="9"/>
      <c r="G474" s="9"/>
      <c r="H474" s="9"/>
      <c r="I474" s="9" t="s">
        <v>1363</v>
      </c>
      <c r="J474" s="9" t="s">
        <v>43</v>
      </c>
      <c r="K474" s="9" t="s">
        <v>226</v>
      </c>
      <c r="L474" s="9" t="s">
        <v>225</v>
      </c>
      <c r="M474" s="9" t="s">
        <v>225</v>
      </c>
      <c r="O474" s="22" t="s">
        <v>1363</v>
      </c>
      <c r="P474" s="23" t="s">
        <v>43</v>
      </c>
      <c r="Q474" s="23" t="s">
        <v>226</v>
      </c>
      <c r="R474" s="23" t="s">
        <v>225</v>
      </c>
      <c r="S474" s="24" t="s">
        <v>225</v>
      </c>
    </row>
    <row r="475" spans="1:19" ht="15.75" customHeight="1" x14ac:dyDescent="0.2">
      <c r="A475" s="9"/>
      <c r="B475" s="10"/>
      <c r="C475" s="9"/>
      <c r="D475" s="9"/>
      <c r="E475" s="9"/>
      <c r="F475" s="9"/>
      <c r="G475" s="9"/>
      <c r="H475" s="9"/>
      <c r="I475" s="9" t="s">
        <v>1364</v>
      </c>
      <c r="J475" s="9" t="s">
        <v>43</v>
      </c>
      <c r="K475" s="9" t="s">
        <v>226</v>
      </c>
      <c r="L475" s="9" t="s">
        <v>225</v>
      </c>
      <c r="M475" s="9" t="s">
        <v>225</v>
      </c>
      <c r="O475" s="22" t="s">
        <v>1364</v>
      </c>
      <c r="P475" s="23" t="s">
        <v>43</v>
      </c>
      <c r="Q475" s="23" t="s">
        <v>226</v>
      </c>
      <c r="R475" s="23" t="s">
        <v>225</v>
      </c>
      <c r="S475" s="24" t="s">
        <v>225</v>
      </c>
    </row>
    <row r="476" spans="1:19" ht="15.75" customHeight="1" x14ac:dyDescent="0.2">
      <c r="A476" s="9"/>
      <c r="B476" s="10"/>
      <c r="C476" s="9"/>
      <c r="D476" s="9"/>
      <c r="E476" s="9"/>
      <c r="F476" s="9"/>
      <c r="G476" s="9"/>
      <c r="H476" s="9"/>
      <c r="I476" s="9" t="s">
        <v>1365</v>
      </c>
      <c r="J476" s="9" t="s">
        <v>43</v>
      </c>
      <c r="K476" s="9" t="s">
        <v>226</v>
      </c>
      <c r="L476" s="9" t="s">
        <v>225</v>
      </c>
      <c r="M476" s="9" t="s">
        <v>225</v>
      </c>
      <c r="O476" s="22" t="s">
        <v>1365</v>
      </c>
      <c r="P476" s="23" t="s">
        <v>43</v>
      </c>
      <c r="Q476" s="23" t="s">
        <v>226</v>
      </c>
      <c r="R476" s="23" t="s">
        <v>225</v>
      </c>
      <c r="S476" s="24" t="s">
        <v>225</v>
      </c>
    </row>
    <row r="477" spans="1:19" ht="15.75" customHeight="1" x14ac:dyDescent="0.2">
      <c r="A477" s="9"/>
      <c r="B477" s="10"/>
      <c r="C477" s="9"/>
      <c r="D477" s="9"/>
      <c r="E477" s="9"/>
      <c r="F477" s="9"/>
      <c r="G477" s="9"/>
      <c r="H477" s="9"/>
      <c r="I477" s="9" t="s">
        <v>1366</v>
      </c>
      <c r="J477" s="9" t="s">
        <v>43</v>
      </c>
      <c r="K477" s="9" t="s">
        <v>226</v>
      </c>
      <c r="L477" s="9" t="s">
        <v>225</v>
      </c>
      <c r="M477" s="9" t="s">
        <v>225</v>
      </c>
      <c r="O477" s="22" t="s">
        <v>1366</v>
      </c>
      <c r="P477" s="23" t="s">
        <v>43</v>
      </c>
      <c r="Q477" s="23" t="s">
        <v>226</v>
      </c>
      <c r="R477" s="23" t="s">
        <v>225</v>
      </c>
      <c r="S477" s="24" t="s">
        <v>225</v>
      </c>
    </row>
    <row r="478" spans="1:19" ht="15.75" customHeight="1" x14ac:dyDescent="0.2">
      <c r="A478" s="9"/>
      <c r="B478" s="10"/>
      <c r="C478" s="9"/>
      <c r="D478" s="9"/>
      <c r="E478" s="9"/>
      <c r="F478" s="9"/>
      <c r="G478" s="9"/>
      <c r="H478" s="9"/>
      <c r="I478" s="9" t="s">
        <v>1367</v>
      </c>
      <c r="J478" s="9" t="s">
        <v>43</v>
      </c>
      <c r="K478" s="9" t="s">
        <v>225</v>
      </c>
      <c r="L478" s="9" t="s">
        <v>225</v>
      </c>
      <c r="M478" s="9" t="s">
        <v>225</v>
      </c>
      <c r="O478" s="22" t="s">
        <v>1367</v>
      </c>
      <c r="P478" s="23" t="s">
        <v>43</v>
      </c>
      <c r="Q478" s="23" t="s">
        <v>225</v>
      </c>
      <c r="R478" s="23" t="s">
        <v>225</v>
      </c>
      <c r="S478" s="24" t="s">
        <v>225</v>
      </c>
    </row>
    <row r="479" spans="1:19" ht="15.75" customHeight="1" x14ac:dyDescent="0.2">
      <c r="A479" s="9"/>
      <c r="B479" s="10"/>
      <c r="C479" s="9"/>
      <c r="D479" s="9"/>
      <c r="E479" s="9"/>
      <c r="F479" s="9"/>
      <c r="G479" s="9"/>
      <c r="H479" s="9"/>
      <c r="I479" s="9" t="s">
        <v>1368</v>
      </c>
      <c r="J479" s="9" t="s">
        <v>43</v>
      </c>
      <c r="K479" s="9" t="s">
        <v>226</v>
      </c>
      <c r="L479" s="9" t="s">
        <v>225</v>
      </c>
      <c r="M479" s="9" t="s">
        <v>225</v>
      </c>
      <c r="O479" s="22" t="s">
        <v>1368</v>
      </c>
      <c r="P479" s="23" t="s">
        <v>43</v>
      </c>
      <c r="Q479" s="23" t="s">
        <v>226</v>
      </c>
      <c r="R479" s="23" t="s">
        <v>225</v>
      </c>
      <c r="S479" s="24" t="s">
        <v>225</v>
      </c>
    </row>
    <row r="480" spans="1:19" ht="15.75" customHeight="1" x14ac:dyDescent="0.2">
      <c r="A480" s="9"/>
      <c r="B480" s="10"/>
      <c r="C480" s="9"/>
      <c r="D480" s="9"/>
      <c r="E480" s="9"/>
      <c r="F480" s="9"/>
      <c r="G480" s="9"/>
      <c r="H480" s="9"/>
      <c r="I480" s="9" t="s">
        <v>1369</v>
      </c>
      <c r="J480" s="9" t="s">
        <v>43</v>
      </c>
      <c r="K480" s="9" t="s">
        <v>226</v>
      </c>
      <c r="L480" s="9" t="s">
        <v>225</v>
      </c>
      <c r="M480" s="9" t="s">
        <v>225</v>
      </c>
      <c r="O480" s="22" t="s">
        <v>1369</v>
      </c>
      <c r="P480" s="23" t="s">
        <v>43</v>
      </c>
      <c r="Q480" s="23" t="s">
        <v>226</v>
      </c>
      <c r="R480" s="23" t="s">
        <v>225</v>
      </c>
      <c r="S480" s="24" t="s">
        <v>225</v>
      </c>
    </row>
    <row r="481" spans="1:19" ht="15.75" customHeight="1" x14ac:dyDescent="0.2">
      <c r="A481" s="9"/>
      <c r="B481" s="10"/>
      <c r="C481" s="9"/>
      <c r="D481" s="9"/>
      <c r="E481" s="9"/>
      <c r="F481" s="9"/>
      <c r="G481" s="9"/>
      <c r="H481" s="9"/>
      <c r="I481" s="9" t="s">
        <v>1370</v>
      </c>
      <c r="J481" s="9" t="s">
        <v>43</v>
      </c>
      <c r="K481" s="9" t="s">
        <v>225</v>
      </c>
      <c r="L481" s="9" t="s">
        <v>225</v>
      </c>
      <c r="M481" s="9" t="s">
        <v>225</v>
      </c>
      <c r="O481" s="22" t="s">
        <v>1370</v>
      </c>
      <c r="P481" s="23" t="s">
        <v>43</v>
      </c>
      <c r="Q481" s="23" t="s">
        <v>225</v>
      </c>
      <c r="R481" s="23" t="s">
        <v>225</v>
      </c>
      <c r="S481" s="24" t="s">
        <v>225</v>
      </c>
    </row>
    <row r="482" spans="1:19" ht="15.75" customHeight="1" x14ac:dyDescent="0.2">
      <c r="A482" s="9"/>
      <c r="B482" s="10"/>
      <c r="C482" s="9"/>
      <c r="D482" s="9"/>
      <c r="E482" s="9"/>
      <c r="F482" s="9"/>
      <c r="G482" s="9"/>
      <c r="H482" s="9"/>
      <c r="I482" s="9" t="s">
        <v>1371</v>
      </c>
      <c r="J482" s="9" t="s">
        <v>43</v>
      </c>
      <c r="K482" s="9" t="s">
        <v>226</v>
      </c>
      <c r="L482" s="9" t="s">
        <v>225</v>
      </c>
      <c r="M482" s="9" t="s">
        <v>225</v>
      </c>
      <c r="O482" s="22" t="s">
        <v>1371</v>
      </c>
      <c r="P482" s="23" t="s">
        <v>43</v>
      </c>
      <c r="Q482" s="23" t="s">
        <v>226</v>
      </c>
      <c r="R482" s="23" t="s">
        <v>225</v>
      </c>
      <c r="S482" s="24" t="s">
        <v>225</v>
      </c>
    </row>
    <row r="483" spans="1:19" ht="15.75" customHeight="1" x14ac:dyDescent="0.2">
      <c r="A483" s="9"/>
      <c r="B483" s="10"/>
      <c r="C483" s="9"/>
      <c r="D483" s="9"/>
      <c r="E483" s="9"/>
      <c r="F483" s="9"/>
      <c r="G483" s="9"/>
      <c r="H483" s="9"/>
      <c r="I483" s="9" t="s">
        <v>1372</v>
      </c>
      <c r="J483" s="9" t="s">
        <v>43</v>
      </c>
      <c r="K483" s="9" t="s">
        <v>226</v>
      </c>
      <c r="L483" s="9" t="s">
        <v>225</v>
      </c>
      <c r="M483" s="9" t="s">
        <v>225</v>
      </c>
      <c r="O483" s="22" t="s">
        <v>1372</v>
      </c>
      <c r="P483" s="23" t="s">
        <v>43</v>
      </c>
      <c r="Q483" s="23" t="s">
        <v>226</v>
      </c>
      <c r="R483" s="23" t="s">
        <v>225</v>
      </c>
      <c r="S483" s="24" t="s">
        <v>225</v>
      </c>
    </row>
    <row r="484" spans="1:19" ht="15.75" customHeight="1" x14ac:dyDescent="0.2">
      <c r="A484" s="9"/>
      <c r="B484" s="10"/>
      <c r="C484" s="9"/>
      <c r="D484" s="9"/>
      <c r="E484" s="9"/>
      <c r="F484" s="9"/>
      <c r="G484" s="9"/>
      <c r="H484" s="9"/>
      <c r="I484" s="9" t="s">
        <v>1373</v>
      </c>
      <c r="J484" s="9" t="s">
        <v>43</v>
      </c>
      <c r="K484" s="9" t="s">
        <v>225</v>
      </c>
      <c r="L484" s="9" t="s">
        <v>225</v>
      </c>
      <c r="M484" s="9" t="s">
        <v>225</v>
      </c>
      <c r="O484" s="22" t="s">
        <v>1373</v>
      </c>
      <c r="P484" s="23" t="s">
        <v>43</v>
      </c>
      <c r="Q484" s="23" t="s">
        <v>225</v>
      </c>
      <c r="R484" s="23" t="s">
        <v>225</v>
      </c>
      <c r="S484" s="24" t="s">
        <v>225</v>
      </c>
    </row>
    <row r="485" spans="1:19" ht="15.75" customHeight="1" x14ac:dyDescent="0.2">
      <c r="A485" s="9"/>
      <c r="B485" s="10"/>
      <c r="C485" s="9"/>
      <c r="D485" s="9"/>
      <c r="E485" s="9"/>
      <c r="F485" s="9"/>
      <c r="G485" s="9"/>
      <c r="H485" s="9"/>
      <c r="I485" s="9" t="s">
        <v>1374</v>
      </c>
      <c r="J485" s="9" t="s">
        <v>43</v>
      </c>
      <c r="K485" s="9" t="s">
        <v>226</v>
      </c>
      <c r="L485" s="9" t="s">
        <v>225</v>
      </c>
      <c r="M485" s="9" t="s">
        <v>225</v>
      </c>
      <c r="O485" s="22" t="s">
        <v>1374</v>
      </c>
      <c r="P485" s="23" t="s">
        <v>43</v>
      </c>
      <c r="Q485" s="23" t="s">
        <v>226</v>
      </c>
      <c r="R485" s="23" t="s">
        <v>225</v>
      </c>
      <c r="S485" s="24" t="s">
        <v>225</v>
      </c>
    </row>
    <row r="486" spans="1:19" ht="15.75" customHeight="1" x14ac:dyDescent="0.2">
      <c r="A486" s="9"/>
      <c r="B486" s="10"/>
      <c r="C486" s="9"/>
      <c r="D486" s="9"/>
      <c r="E486" s="9"/>
      <c r="F486" s="9"/>
      <c r="G486" s="9"/>
      <c r="H486" s="9"/>
      <c r="I486" s="9" t="s">
        <v>1375</v>
      </c>
      <c r="J486" s="9" t="s">
        <v>43</v>
      </c>
      <c r="K486" s="9" t="s">
        <v>225</v>
      </c>
      <c r="L486" s="9" t="s">
        <v>225</v>
      </c>
      <c r="M486" s="9" t="s">
        <v>225</v>
      </c>
      <c r="O486" s="22" t="s">
        <v>1375</v>
      </c>
      <c r="P486" s="23" t="s">
        <v>43</v>
      </c>
      <c r="Q486" s="23" t="s">
        <v>225</v>
      </c>
      <c r="R486" s="23" t="s">
        <v>225</v>
      </c>
      <c r="S486" s="24" t="s">
        <v>225</v>
      </c>
    </row>
    <row r="487" spans="1:19" ht="15.75" customHeight="1" x14ac:dyDescent="0.2">
      <c r="A487" s="9"/>
      <c r="B487" s="10"/>
      <c r="C487" s="9"/>
      <c r="D487" s="9"/>
      <c r="E487" s="9"/>
      <c r="F487" s="9"/>
      <c r="G487" s="9"/>
      <c r="H487" s="9"/>
      <c r="I487" s="9" t="s">
        <v>1376</v>
      </c>
      <c r="J487" s="9" t="s">
        <v>43</v>
      </c>
      <c r="K487" s="9" t="s">
        <v>226</v>
      </c>
      <c r="L487" s="9" t="s">
        <v>225</v>
      </c>
      <c r="M487" s="9" t="s">
        <v>225</v>
      </c>
      <c r="O487" s="22" t="s">
        <v>1376</v>
      </c>
      <c r="P487" s="23" t="s">
        <v>43</v>
      </c>
      <c r="Q487" s="23" t="s">
        <v>226</v>
      </c>
      <c r="R487" s="23" t="s">
        <v>225</v>
      </c>
      <c r="S487" s="24" t="s">
        <v>225</v>
      </c>
    </row>
    <row r="488" spans="1:19" ht="15.75" customHeight="1" x14ac:dyDescent="0.2">
      <c r="A488" s="9"/>
      <c r="B488" s="10"/>
      <c r="C488" s="9"/>
      <c r="D488" s="9"/>
      <c r="E488" s="9"/>
      <c r="F488" s="9"/>
      <c r="G488" s="9"/>
      <c r="H488" s="9"/>
      <c r="I488" s="9" t="s">
        <v>1377</v>
      </c>
      <c r="J488" s="9" t="s">
        <v>43</v>
      </c>
      <c r="K488" s="9" t="s">
        <v>226</v>
      </c>
      <c r="L488" s="9" t="s">
        <v>225</v>
      </c>
      <c r="M488" s="9" t="s">
        <v>225</v>
      </c>
      <c r="O488" s="22" t="s">
        <v>1377</v>
      </c>
      <c r="P488" s="23" t="s">
        <v>43</v>
      </c>
      <c r="Q488" s="23" t="s">
        <v>226</v>
      </c>
      <c r="R488" s="23" t="s">
        <v>225</v>
      </c>
      <c r="S488" s="24" t="s">
        <v>225</v>
      </c>
    </row>
    <row r="489" spans="1:19" ht="15.75" customHeight="1" x14ac:dyDescent="0.2">
      <c r="A489" s="9"/>
      <c r="B489" s="10"/>
      <c r="C489" s="9"/>
      <c r="D489" s="9"/>
      <c r="E489" s="9"/>
      <c r="F489" s="9"/>
      <c r="G489" s="9"/>
      <c r="H489" s="9"/>
      <c r="I489" s="9" t="s">
        <v>1378</v>
      </c>
      <c r="J489" s="9" t="s">
        <v>43</v>
      </c>
      <c r="K489" s="9" t="s">
        <v>226</v>
      </c>
      <c r="L489" s="9" t="s">
        <v>225</v>
      </c>
      <c r="M489" s="9" t="s">
        <v>225</v>
      </c>
      <c r="O489" s="22" t="s">
        <v>1378</v>
      </c>
      <c r="P489" s="23" t="s">
        <v>43</v>
      </c>
      <c r="Q489" s="23" t="s">
        <v>226</v>
      </c>
      <c r="R489" s="23" t="s">
        <v>225</v>
      </c>
      <c r="S489" s="24" t="s">
        <v>225</v>
      </c>
    </row>
    <row r="490" spans="1:19" ht="15.75" customHeight="1" x14ac:dyDescent="0.2">
      <c r="A490" s="9"/>
      <c r="B490" s="10"/>
      <c r="C490" s="9"/>
      <c r="D490" s="9"/>
      <c r="E490" s="9"/>
      <c r="F490" s="9"/>
      <c r="G490" s="9"/>
      <c r="H490" s="9"/>
      <c r="I490" s="9" t="s">
        <v>1379</v>
      </c>
      <c r="J490" s="9" t="s">
        <v>43</v>
      </c>
      <c r="K490" s="9" t="s">
        <v>225</v>
      </c>
      <c r="L490" s="9" t="s">
        <v>225</v>
      </c>
      <c r="M490" s="9" t="s">
        <v>225</v>
      </c>
      <c r="O490" s="22" t="s">
        <v>1379</v>
      </c>
      <c r="P490" s="23" t="s">
        <v>43</v>
      </c>
      <c r="Q490" s="23" t="s">
        <v>225</v>
      </c>
      <c r="R490" s="23" t="s">
        <v>225</v>
      </c>
      <c r="S490" s="24" t="s">
        <v>225</v>
      </c>
    </row>
    <row r="491" spans="1:19" ht="15.75" customHeight="1" x14ac:dyDescent="0.2">
      <c r="A491" s="9"/>
      <c r="B491" s="10"/>
      <c r="C491" s="9"/>
      <c r="D491" s="9"/>
      <c r="E491" s="9"/>
      <c r="F491" s="9"/>
      <c r="G491" s="9"/>
      <c r="H491" s="9"/>
      <c r="I491" s="9" t="s">
        <v>1380</v>
      </c>
      <c r="J491" s="9" t="s">
        <v>43</v>
      </c>
      <c r="K491" s="9" t="s">
        <v>226</v>
      </c>
      <c r="L491" s="9" t="s">
        <v>225</v>
      </c>
      <c r="M491" s="9" t="s">
        <v>225</v>
      </c>
      <c r="O491" s="22" t="s">
        <v>1380</v>
      </c>
      <c r="P491" s="23" t="s">
        <v>43</v>
      </c>
      <c r="Q491" s="23" t="s">
        <v>226</v>
      </c>
      <c r="R491" s="23" t="s">
        <v>225</v>
      </c>
      <c r="S491" s="24" t="s">
        <v>225</v>
      </c>
    </row>
    <row r="492" spans="1:19" ht="15.75" customHeight="1" x14ac:dyDescent="0.2">
      <c r="A492" s="9"/>
      <c r="B492" s="10"/>
      <c r="C492" s="9"/>
      <c r="D492" s="9"/>
      <c r="E492" s="9"/>
      <c r="F492" s="9"/>
      <c r="G492" s="9"/>
      <c r="H492" s="9"/>
      <c r="I492" s="9" t="s">
        <v>1381</v>
      </c>
      <c r="J492" s="9" t="s">
        <v>43</v>
      </c>
      <c r="K492" s="9" t="s">
        <v>225</v>
      </c>
      <c r="L492" s="9" t="s">
        <v>225</v>
      </c>
      <c r="M492" s="9" t="s">
        <v>225</v>
      </c>
      <c r="O492" s="22" t="s">
        <v>1381</v>
      </c>
      <c r="P492" s="23" t="s">
        <v>43</v>
      </c>
      <c r="Q492" s="23" t="s">
        <v>225</v>
      </c>
      <c r="R492" s="23" t="s">
        <v>225</v>
      </c>
      <c r="S492" s="24" t="s">
        <v>225</v>
      </c>
    </row>
    <row r="493" spans="1:19" ht="15.75" customHeight="1" x14ac:dyDescent="0.2">
      <c r="A493" s="9"/>
      <c r="B493" s="10"/>
      <c r="C493" s="9"/>
      <c r="D493" s="9"/>
      <c r="E493" s="9"/>
      <c r="F493" s="9"/>
      <c r="G493" s="9"/>
      <c r="H493" s="9"/>
      <c r="I493" s="9" t="s">
        <v>1382</v>
      </c>
      <c r="J493" s="9" t="s">
        <v>43</v>
      </c>
      <c r="K493" s="9" t="s">
        <v>226</v>
      </c>
      <c r="L493" s="9" t="s">
        <v>225</v>
      </c>
      <c r="M493" s="9" t="s">
        <v>225</v>
      </c>
      <c r="O493" s="22" t="s">
        <v>1382</v>
      </c>
      <c r="P493" s="23" t="s">
        <v>43</v>
      </c>
      <c r="Q493" s="23" t="s">
        <v>226</v>
      </c>
      <c r="R493" s="23" t="s">
        <v>225</v>
      </c>
      <c r="S493" s="24" t="s">
        <v>225</v>
      </c>
    </row>
    <row r="494" spans="1:19" ht="15.75" customHeight="1" x14ac:dyDescent="0.2">
      <c r="A494" s="9"/>
      <c r="B494" s="10"/>
      <c r="C494" s="9"/>
      <c r="D494" s="9"/>
      <c r="E494" s="9"/>
      <c r="F494" s="9"/>
      <c r="G494" s="9"/>
      <c r="H494" s="9"/>
      <c r="I494" s="9" t="s">
        <v>1383</v>
      </c>
      <c r="J494" s="9" t="s">
        <v>43</v>
      </c>
      <c r="K494" s="9" t="s">
        <v>226</v>
      </c>
      <c r="L494" s="9" t="s">
        <v>225</v>
      </c>
      <c r="M494" s="9" t="s">
        <v>225</v>
      </c>
      <c r="O494" s="22" t="s">
        <v>1383</v>
      </c>
      <c r="P494" s="23" t="s">
        <v>43</v>
      </c>
      <c r="Q494" s="23" t="s">
        <v>226</v>
      </c>
      <c r="R494" s="23" t="s">
        <v>225</v>
      </c>
      <c r="S494" s="24" t="s">
        <v>225</v>
      </c>
    </row>
    <row r="495" spans="1:19" ht="15.75" customHeight="1" x14ac:dyDescent="0.2">
      <c r="A495" s="9"/>
      <c r="B495" s="10"/>
      <c r="C495" s="9"/>
      <c r="D495" s="9"/>
      <c r="E495" s="9"/>
      <c r="F495" s="9"/>
      <c r="G495" s="9"/>
      <c r="H495" s="9"/>
      <c r="I495" s="9" t="s">
        <v>1384</v>
      </c>
      <c r="J495" s="9" t="s">
        <v>43</v>
      </c>
      <c r="K495" s="9" t="s">
        <v>226</v>
      </c>
      <c r="L495" s="9" t="s">
        <v>225</v>
      </c>
      <c r="M495" s="9" t="s">
        <v>225</v>
      </c>
      <c r="O495" s="22" t="s">
        <v>1384</v>
      </c>
      <c r="P495" s="23" t="s">
        <v>43</v>
      </c>
      <c r="Q495" s="23" t="s">
        <v>226</v>
      </c>
      <c r="R495" s="23" t="s">
        <v>225</v>
      </c>
      <c r="S495" s="24" t="s">
        <v>225</v>
      </c>
    </row>
    <row r="496" spans="1:19" ht="15.75" customHeight="1" x14ac:dyDescent="0.2">
      <c r="A496" s="9"/>
      <c r="B496" s="10"/>
      <c r="C496" s="9"/>
      <c r="D496" s="9"/>
      <c r="E496" s="9"/>
      <c r="F496" s="9"/>
      <c r="G496" s="9"/>
      <c r="H496" s="9"/>
      <c r="I496" s="9" t="s">
        <v>1385</v>
      </c>
      <c r="J496" s="9" t="s">
        <v>43</v>
      </c>
      <c r="K496" s="9" t="s">
        <v>226</v>
      </c>
      <c r="L496" s="9" t="s">
        <v>225</v>
      </c>
      <c r="M496" s="9" t="s">
        <v>225</v>
      </c>
      <c r="O496" s="22" t="s">
        <v>1385</v>
      </c>
      <c r="P496" s="23" t="s">
        <v>43</v>
      </c>
      <c r="Q496" s="23" t="s">
        <v>226</v>
      </c>
      <c r="R496" s="23" t="s">
        <v>225</v>
      </c>
      <c r="S496" s="24" t="s">
        <v>225</v>
      </c>
    </row>
    <row r="497" spans="1:19" ht="15.75" customHeight="1" x14ac:dyDescent="0.2">
      <c r="A497" s="9"/>
      <c r="B497" s="10"/>
      <c r="C497" s="9"/>
      <c r="D497" s="9"/>
      <c r="E497" s="9"/>
      <c r="F497" s="9"/>
      <c r="G497" s="9"/>
      <c r="H497" s="9"/>
      <c r="I497" s="9" t="s">
        <v>1386</v>
      </c>
      <c r="J497" s="9" t="s">
        <v>43</v>
      </c>
      <c r="K497" s="9" t="s">
        <v>226</v>
      </c>
      <c r="L497" s="9" t="s">
        <v>225</v>
      </c>
      <c r="M497" s="9" t="s">
        <v>225</v>
      </c>
      <c r="O497" s="22" t="s">
        <v>1386</v>
      </c>
      <c r="P497" s="23" t="s">
        <v>43</v>
      </c>
      <c r="Q497" s="23" t="s">
        <v>226</v>
      </c>
      <c r="R497" s="23" t="s">
        <v>225</v>
      </c>
      <c r="S497" s="24" t="s">
        <v>225</v>
      </c>
    </row>
    <row r="498" spans="1:19" ht="15.75" customHeight="1" x14ac:dyDescent="0.2">
      <c r="A498" s="9"/>
      <c r="B498" s="10"/>
      <c r="C498" s="9"/>
      <c r="D498" s="9"/>
      <c r="E498" s="9"/>
      <c r="F498" s="9"/>
      <c r="G498" s="9"/>
      <c r="H498" s="9"/>
      <c r="I498" s="9" t="s">
        <v>1387</v>
      </c>
      <c r="J498" s="9" t="s">
        <v>43</v>
      </c>
      <c r="K498" s="9" t="s">
        <v>226</v>
      </c>
      <c r="L498" s="9" t="s">
        <v>225</v>
      </c>
      <c r="M498" s="9" t="s">
        <v>225</v>
      </c>
      <c r="O498" s="22" t="s">
        <v>1387</v>
      </c>
      <c r="P498" s="23" t="s">
        <v>43</v>
      </c>
      <c r="Q498" s="23" t="s">
        <v>226</v>
      </c>
      <c r="R498" s="23" t="s">
        <v>225</v>
      </c>
      <c r="S498" s="24" t="s">
        <v>225</v>
      </c>
    </row>
    <row r="499" spans="1:19" ht="15.75" customHeight="1" x14ac:dyDescent="0.2">
      <c r="A499" s="9"/>
      <c r="B499" s="10"/>
      <c r="C499" s="9"/>
      <c r="D499" s="9"/>
      <c r="E499" s="9"/>
      <c r="F499" s="9"/>
      <c r="G499" s="9"/>
      <c r="H499" s="9"/>
      <c r="I499" s="9" t="s">
        <v>1388</v>
      </c>
      <c r="J499" s="9" t="s">
        <v>43</v>
      </c>
      <c r="K499" s="9" t="s">
        <v>226</v>
      </c>
      <c r="L499" s="9" t="s">
        <v>225</v>
      </c>
      <c r="M499" s="9" t="s">
        <v>225</v>
      </c>
      <c r="O499" s="22" t="s">
        <v>1388</v>
      </c>
      <c r="P499" s="23" t="s">
        <v>43</v>
      </c>
      <c r="Q499" s="23" t="s">
        <v>226</v>
      </c>
      <c r="R499" s="23" t="s">
        <v>225</v>
      </c>
      <c r="S499" s="24" t="s">
        <v>225</v>
      </c>
    </row>
    <row r="500" spans="1:19" ht="15.75" customHeight="1" x14ac:dyDescent="0.2">
      <c r="A500" s="9"/>
      <c r="B500" s="10"/>
      <c r="C500" s="9"/>
      <c r="D500" s="9"/>
      <c r="E500" s="9"/>
      <c r="F500" s="9"/>
      <c r="G500" s="9"/>
      <c r="H500" s="9"/>
      <c r="I500" s="9" t="s">
        <v>1389</v>
      </c>
      <c r="J500" s="9" t="s">
        <v>43</v>
      </c>
      <c r="K500" s="9" t="s">
        <v>225</v>
      </c>
      <c r="L500" s="9" t="s">
        <v>225</v>
      </c>
      <c r="M500" s="9" t="s">
        <v>225</v>
      </c>
      <c r="O500" s="22" t="s">
        <v>1389</v>
      </c>
      <c r="P500" s="23" t="s">
        <v>43</v>
      </c>
      <c r="Q500" s="23" t="s">
        <v>225</v>
      </c>
      <c r="R500" s="23" t="s">
        <v>225</v>
      </c>
      <c r="S500" s="24" t="s">
        <v>225</v>
      </c>
    </row>
    <row r="501" spans="1:19" ht="15.75" customHeight="1" x14ac:dyDescent="0.2">
      <c r="A501" s="9"/>
      <c r="B501" s="10"/>
      <c r="C501" s="9"/>
      <c r="D501" s="9"/>
      <c r="E501" s="9"/>
      <c r="F501" s="9"/>
      <c r="G501" s="9"/>
      <c r="H501" s="9"/>
      <c r="I501" s="9" t="s">
        <v>1390</v>
      </c>
      <c r="J501" s="9" t="s">
        <v>33</v>
      </c>
      <c r="K501" s="9" t="s">
        <v>225</v>
      </c>
      <c r="L501" s="9" t="s">
        <v>225</v>
      </c>
      <c r="M501" s="9" t="s">
        <v>225</v>
      </c>
      <c r="O501" s="22" t="s">
        <v>1390</v>
      </c>
      <c r="P501" s="23" t="s">
        <v>33</v>
      </c>
      <c r="Q501" s="23" t="s">
        <v>225</v>
      </c>
      <c r="R501" s="23" t="s">
        <v>225</v>
      </c>
      <c r="S501" s="24" t="s">
        <v>225</v>
      </c>
    </row>
    <row r="502" spans="1:19" ht="15.75" customHeight="1" x14ac:dyDescent="0.2">
      <c r="A502" s="9"/>
      <c r="B502" s="10"/>
      <c r="C502" s="9"/>
      <c r="D502" s="9"/>
      <c r="E502" s="9"/>
      <c r="F502" s="9"/>
      <c r="G502" s="9"/>
      <c r="H502" s="9"/>
      <c r="I502" s="9" t="s">
        <v>1391</v>
      </c>
      <c r="J502" s="9" t="s">
        <v>43</v>
      </c>
      <c r="K502" s="9" t="s">
        <v>225</v>
      </c>
      <c r="L502" s="9" t="s">
        <v>225</v>
      </c>
      <c r="M502" s="9" t="s">
        <v>225</v>
      </c>
      <c r="O502" s="22" t="s">
        <v>1391</v>
      </c>
      <c r="P502" s="23" t="s">
        <v>43</v>
      </c>
      <c r="Q502" s="23" t="s">
        <v>225</v>
      </c>
      <c r="R502" s="23" t="s">
        <v>225</v>
      </c>
      <c r="S502" s="24" t="s">
        <v>225</v>
      </c>
    </row>
    <row r="503" spans="1:19" ht="15.75" customHeight="1" x14ac:dyDescent="0.2">
      <c r="A503" s="9"/>
      <c r="B503" s="10"/>
      <c r="C503" s="9"/>
      <c r="D503" s="9"/>
      <c r="E503" s="9"/>
      <c r="F503" s="9"/>
      <c r="G503" s="9"/>
      <c r="H503" s="9"/>
      <c r="I503" s="9" t="s">
        <v>1392</v>
      </c>
      <c r="J503" s="9" t="s">
        <v>43</v>
      </c>
      <c r="K503" s="9" t="s">
        <v>225</v>
      </c>
      <c r="L503" s="9" t="s">
        <v>225</v>
      </c>
      <c r="M503" s="9" t="s">
        <v>225</v>
      </c>
      <c r="O503" s="22" t="s">
        <v>1392</v>
      </c>
      <c r="P503" s="23" t="s">
        <v>43</v>
      </c>
      <c r="Q503" s="23" t="s">
        <v>225</v>
      </c>
      <c r="R503" s="23" t="s">
        <v>225</v>
      </c>
      <c r="S503" s="24" t="s">
        <v>225</v>
      </c>
    </row>
    <row r="504" spans="1:19" ht="15.75" customHeight="1" x14ac:dyDescent="0.2">
      <c r="A504" s="9"/>
      <c r="B504" s="10"/>
      <c r="C504" s="9"/>
      <c r="D504" s="9"/>
      <c r="E504" s="9"/>
      <c r="F504" s="9"/>
      <c r="G504" s="9"/>
      <c r="H504" s="9"/>
      <c r="I504" s="9" t="s">
        <v>1393</v>
      </c>
      <c r="J504" s="9" t="s">
        <v>43</v>
      </c>
      <c r="K504" s="9" t="s">
        <v>225</v>
      </c>
      <c r="L504" s="9" t="s">
        <v>225</v>
      </c>
      <c r="M504" s="9" t="s">
        <v>225</v>
      </c>
      <c r="O504" s="22" t="s">
        <v>1393</v>
      </c>
      <c r="P504" s="23" t="s">
        <v>43</v>
      </c>
      <c r="Q504" s="23" t="s">
        <v>225</v>
      </c>
      <c r="R504" s="23" t="s">
        <v>225</v>
      </c>
      <c r="S504" s="24" t="s">
        <v>225</v>
      </c>
    </row>
    <row r="505" spans="1:19" ht="15.75" customHeight="1" x14ac:dyDescent="0.2">
      <c r="A505" s="9"/>
      <c r="B505" s="10"/>
      <c r="C505" s="9"/>
      <c r="D505" s="9"/>
      <c r="E505" s="9"/>
      <c r="F505" s="9"/>
      <c r="G505" s="9"/>
      <c r="H505" s="9"/>
      <c r="I505" s="9" t="s">
        <v>1394</v>
      </c>
      <c r="J505" s="9" t="s">
        <v>43</v>
      </c>
      <c r="K505" s="9" t="s">
        <v>225</v>
      </c>
      <c r="L505" s="9" t="s">
        <v>225</v>
      </c>
      <c r="M505" s="9" t="s">
        <v>226</v>
      </c>
      <c r="O505" s="22" t="s">
        <v>1394</v>
      </c>
      <c r="P505" s="23" t="s">
        <v>43</v>
      </c>
      <c r="Q505" s="23" t="s">
        <v>225</v>
      </c>
      <c r="R505" s="23" t="s">
        <v>225</v>
      </c>
      <c r="S505" s="24" t="s">
        <v>226</v>
      </c>
    </row>
    <row r="506" spans="1:19" ht="15.75" customHeight="1" x14ac:dyDescent="0.2">
      <c r="A506" s="9"/>
      <c r="B506" s="10"/>
      <c r="C506" s="9"/>
      <c r="D506" s="9"/>
      <c r="E506" s="9"/>
      <c r="F506" s="9"/>
      <c r="G506" s="9"/>
      <c r="H506" s="9"/>
      <c r="I506" s="9" t="s">
        <v>1395</v>
      </c>
      <c r="J506" s="9" t="s">
        <v>43</v>
      </c>
      <c r="K506" s="9" t="s">
        <v>225</v>
      </c>
      <c r="L506" s="9" t="s">
        <v>225</v>
      </c>
      <c r="M506" s="9" t="s">
        <v>226</v>
      </c>
      <c r="O506" s="22" t="s">
        <v>1395</v>
      </c>
      <c r="P506" s="23" t="s">
        <v>43</v>
      </c>
      <c r="Q506" s="23" t="s">
        <v>225</v>
      </c>
      <c r="R506" s="23" t="s">
        <v>225</v>
      </c>
      <c r="S506" s="24" t="s">
        <v>226</v>
      </c>
    </row>
    <row r="507" spans="1:19" ht="15.75" customHeight="1" x14ac:dyDescent="0.2">
      <c r="A507" s="9"/>
      <c r="B507" s="10"/>
      <c r="C507" s="9"/>
      <c r="D507" s="9"/>
      <c r="E507" s="9"/>
      <c r="F507" s="9"/>
      <c r="G507" s="9"/>
      <c r="H507" s="9"/>
      <c r="I507" s="9" t="s">
        <v>1396</v>
      </c>
      <c r="J507" s="9" t="s">
        <v>43</v>
      </c>
      <c r="K507" s="9" t="s">
        <v>225</v>
      </c>
      <c r="L507" s="9" t="s">
        <v>225</v>
      </c>
      <c r="M507" s="9" t="s">
        <v>225</v>
      </c>
      <c r="O507" s="22" t="s">
        <v>1396</v>
      </c>
      <c r="P507" s="23" t="s">
        <v>43</v>
      </c>
      <c r="Q507" s="23" t="s">
        <v>225</v>
      </c>
      <c r="R507" s="23" t="s">
        <v>225</v>
      </c>
      <c r="S507" s="24" t="s">
        <v>225</v>
      </c>
    </row>
    <row r="508" spans="1:19" ht="15.75" customHeight="1" x14ac:dyDescent="0.2">
      <c r="A508" s="9"/>
      <c r="B508" s="10"/>
      <c r="C508" s="9"/>
      <c r="D508" s="9"/>
      <c r="E508" s="9"/>
      <c r="F508" s="9"/>
      <c r="G508" s="9"/>
      <c r="H508" s="9"/>
      <c r="I508" s="9" t="s">
        <v>1397</v>
      </c>
      <c r="J508" s="9" t="s">
        <v>43</v>
      </c>
      <c r="K508" s="9" t="s">
        <v>226</v>
      </c>
      <c r="L508" s="9" t="s">
        <v>225</v>
      </c>
      <c r="M508" s="9" t="s">
        <v>225</v>
      </c>
      <c r="O508" s="22" t="s">
        <v>1397</v>
      </c>
      <c r="P508" s="23" t="s">
        <v>43</v>
      </c>
      <c r="Q508" s="23" t="s">
        <v>226</v>
      </c>
      <c r="R508" s="23" t="s">
        <v>225</v>
      </c>
      <c r="S508" s="24" t="s">
        <v>225</v>
      </c>
    </row>
    <row r="509" spans="1:19" ht="15.75" customHeight="1" x14ac:dyDescent="0.2">
      <c r="A509" s="9"/>
      <c r="B509" s="10"/>
      <c r="C509" s="9"/>
      <c r="D509" s="9"/>
      <c r="E509" s="9"/>
      <c r="F509" s="9"/>
      <c r="G509" s="9"/>
      <c r="H509" s="9"/>
      <c r="I509" s="9" t="s">
        <v>1398</v>
      </c>
      <c r="J509" s="9" t="s">
        <v>43</v>
      </c>
      <c r="K509" s="9" t="s">
        <v>226</v>
      </c>
      <c r="L509" s="9" t="s">
        <v>225</v>
      </c>
      <c r="M509" s="9" t="s">
        <v>225</v>
      </c>
      <c r="O509" s="22" t="s">
        <v>1398</v>
      </c>
      <c r="P509" s="23" t="s">
        <v>43</v>
      </c>
      <c r="Q509" s="23" t="s">
        <v>226</v>
      </c>
      <c r="R509" s="23" t="s">
        <v>225</v>
      </c>
      <c r="S509" s="24" t="s">
        <v>225</v>
      </c>
    </row>
    <row r="510" spans="1:19" ht="15.75" customHeight="1" x14ac:dyDescent="0.2">
      <c r="A510" s="9"/>
      <c r="B510" s="10"/>
      <c r="C510" s="9"/>
      <c r="D510" s="9"/>
      <c r="E510" s="9"/>
      <c r="F510" s="9"/>
      <c r="G510" s="9"/>
      <c r="H510" s="9"/>
      <c r="I510" s="9" t="s">
        <v>1399</v>
      </c>
      <c r="J510" s="9" t="s">
        <v>43</v>
      </c>
      <c r="K510" s="9" t="s">
        <v>226</v>
      </c>
      <c r="L510" s="9" t="s">
        <v>225</v>
      </c>
      <c r="M510" s="9" t="s">
        <v>225</v>
      </c>
      <c r="O510" s="22" t="s">
        <v>1399</v>
      </c>
      <c r="P510" s="23" t="s">
        <v>43</v>
      </c>
      <c r="Q510" s="23" t="s">
        <v>226</v>
      </c>
      <c r="R510" s="23" t="s">
        <v>225</v>
      </c>
      <c r="S510" s="24" t="s">
        <v>225</v>
      </c>
    </row>
    <row r="511" spans="1:19" ht="15.75" customHeight="1" x14ac:dyDescent="0.2">
      <c r="A511" s="9"/>
      <c r="B511" s="10"/>
      <c r="C511" s="9"/>
      <c r="D511" s="9"/>
      <c r="E511" s="9"/>
      <c r="F511" s="9"/>
      <c r="G511" s="9"/>
      <c r="H511" s="9"/>
      <c r="I511" s="9" t="s">
        <v>1400</v>
      </c>
      <c r="J511" s="9" t="s">
        <v>43</v>
      </c>
      <c r="K511" s="9" t="s">
        <v>226</v>
      </c>
      <c r="L511" s="9" t="s">
        <v>225</v>
      </c>
      <c r="M511" s="9" t="s">
        <v>225</v>
      </c>
      <c r="O511" s="22" t="s">
        <v>1400</v>
      </c>
      <c r="P511" s="23" t="s">
        <v>43</v>
      </c>
      <c r="Q511" s="23" t="s">
        <v>226</v>
      </c>
      <c r="R511" s="23" t="s">
        <v>225</v>
      </c>
      <c r="S511" s="24" t="s">
        <v>225</v>
      </c>
    </row>
    <row r="512" spans="1:19" ht="15.75" customHeight="1" x14ac:dyDescent="0.2">
      <c r="A512" s="9"/>
      <c r="B512" s="10"/>
      <c r="C512" s="9"/>
      <c r="D512" s="9"/>
      <c r="E512" s="9"/>
      <c r="F512" s="9"/>
      <c r="G512" s="9"/>
      <c r="H512" s="9"/>
      <c r="I512" s="9" t="s">
        <v>1401</v>
      </c>
      <c r="J512" s="9" t="s">
        <v>43</v>
      </c>
      <c r="K512" s="9" t="s">
        <v>226</v>
      </c>
      <c r="L512" s="9" t="s">
        <v>225</v>
      </c>
      <c r="M512" s="9" t="s">
        <v>225</v>
      </c>
      <c r="O512" s="22" t="s">
        <v>1401</v>
      </c>
      <c r="P512" s="23" t="s">
        <v>43</v>
      </c>
      <c r="Q512" s="23" t="s">
        <v>226</v>
      </c>
      <c r="R512" s="23" t="s">
        <v>225</v>
      </c>
      <c r="S512" s="24" t="s">
        <v>225</v>
      </c>
    </row>
    <row r="513" spans="1:19" ht="15.75" customHeight="1" x14ac:dyDescent="0.2">
      <c r="A513" s="9"/>
      <c r="B513" s="10"/>
      <c r="C513" s="9"/>
      <c r="D513" s="9"/>
      <c r="E513" s="9"/>
      <c r="F513" s="9"/>
      <c r="G513" s="9"/>
      <c r="H513" s="9"/>
      <c r="I513" s="9" t="s">
        <v>1402</v>
      </c>
      <c r="J513" s="9" t="s">
        <v>43</v>
      </c>
      <c r="K513" s="9" t="s">
        <v>226</v>
      </c>
      <c r="L513" s="9" t="s">
        <v>225</v>
      </c>
      <c r="M513" s="9" t="s">
        <v>225</v>
      </c>
      <c r="O513" s="22" t="s">
        <v>1402</v>
      </c>
      <c r="P513" s="23" t="s">
        <v>43</v>
      </c>
      <c r="Q513" s="23" t="s">
        <v>226</v>
      </c>
      <c r="R513" s="23" t="s">
        <v>225</v>
      </c>
      <c r="S513" s="24" t="s">
        <v>225</v>
      </c>
    </row>
    <row r="514" spans="1:19" ht="15.75" customHeight="1" x14ac:dyDescent="0.2">
      <c r="A514" s="9"/>
      <c r="B514" s="10"/>
      <c r="C514" s="9"/>
      <c r="D514" s="9"/>
      <c r="E514" s="9"/>
      <c r="F514" s="9"/>
      <c r="G514" s="9"/>
      <c r="H514" s="9"/>
      <c r="I514" s="9" t="s">
        <v>1403</v>
      </c>
      <c r="J514" s="9" t="s">
        <v>43</v>
      </c>
      <c r="K514" s="9" t="s">
        <v>226</v>
      </c>
      <c r="L514" s="9" t="s">
        <v>225</v>
      </c>
      <c r="M514" s="9" t="s">
        <v>225</v>
      </c>
      <c r="O514" s="22" t="s">
        <v>1403</v>
      </c>
      <c r="P514" s="23" t="s">
        <v>43</v>
      </c>
      <c r="Q514" s="23" t="s">
        <v>226</v>
      </c>
      <c r="R514" s="23" t="s">
        <v>225</v>
      </c>
      <c r="S514" s="24" t="s">
        <v>225</v>
      </c>
    </row>
    <row r="515" spans="1:19" ht="15.75" customHeight="1" x14ac:dyDescent="0.2">
      <c r="A515" s="9"/>
      <c r="B515" s="10"/>
      <c r="C515" s="9"/>
      <c r="D515" s="9"/>
      <c r="E515" s="9"/>
      <c r="F515" s="9"/>
      <c r="G515" s="9"/>
      <c r="H515" s="9"/>
      <c r="I515" s="9" t="s">
        <v>1404</v>
      </c>
      <c r="J515" s="9" t="s">
        <v>43</v>
      </c>
      <c r="K515" s="9" t="s">
        <v>226</v>
      </c>
      <c r="L515" s="9" t="s">
        <v>225</v>
      </c>
      <c r="M515" s="9" t="s">
        <v>225</v>
      </c>
      <c r="O515" s="22" t="s">
        <v>1404</v>
      </c>
      <c r="P515" s="23" t="s">
        <v>43</v>
      </c>
      <c r="Q515" s="23" t="s">
        <v>226</v>
      </c>
      <c r="R515" s="23" t="s">
        <v>225</v>
      </c>
      <c r="S515" s="24" t="s">
        <v>225</v>
      </c>
    </row>
    <row r="516" spans="1:19" ht="15.75" customHeight="1" x14ac:dyDescent="0.2">
      <c r="A516" s="9"/>
      <c r="B516" s="10"/>
      <c r="C516" s="9"/>
      <c r="D516" s="9"/>
      <c r="E516" s="9"/>
      <c r="F516" s="9"/>
      <c r="G516" s="9"/>
      <c r="H516" s="9"/>
      <c r="I516" s="9" t="s">
        <v>1405</v>
      </c>
      <c r="J516" s="9" t="s">
        <v>43</v>
      </c>
      <c r="K516" s="9" t="s">
        <v>226</v>
      </c>
      <c r="L516" s="9" t="s">
        <v>225</v>
      </c>
      <c r="M516" s="9" t="s">
        <v>225</v>
      </c>
      <c r="O516" s="22" t="s">
        <v>1405</v>
      </c>
      <c r="P516" s="23" t="s">
        <v>43</v>
      </c>
      <c r="Q516" s="23" t="s">
        <v>226</v>
      </c>
      <c r="R516" s="23" t="s">
        <v>225</v>
      </c>
      <c r="S516" s="24" t="s">
        <v>225</v>
      </c>
    </row>
    <row r="517" spans="1:19" ht="15.75" customHeight="1" x14ac:dyDescent="0.2">
      <c r="A517" s="9"/>
      <c r="B517" s="10"/>
      <c r="C517" s="9"/>
      <c r="D517" s="9"/>
      <c r="E517" s="9"/>
      <c r="F517" s="9"/>
      <c r="G517" s="9"/>
      <c r="H517" s="9"/>
      <c r="I517" s="9" t="s">
        <v>1406</v>
      </c>
      <c r="J517" s="9" t="s">
        <v>43</v>
      </c>
      <c r="K517" s="9" t="s">
        <v>226</v>
      </c>
      <c r="L517" s="9" t="s">
        <v>225</v>
      </c>
      <c r="M517" s="9" t="s">
        <v>225</v>
      </c>
      <c r="O517" s="22" t="s">
        <v>1406</v>
      </c>
      <c r="P517" s="23" t="s">
        <v>43</v>
      </c>
      <c r="Q517" s="23" t="s">
        <v>226</v>
      </c>
      <c r="R517" s="23" t="s">
        <v>225</v>
      </c>
      <c r="S517" s="24" t="s">
        <v>225</v>
      </c>
    </row>
    <row r="518" spans="1:19" ht="15.75" customHeight="1" x14ac:dyDescent="0.2">
      <c r="A518" s="9"/>
      <c r="B518" s="10"/>
      <c r="C518" s="9"/>
      <c r="D518" s="9"/>
      <c r="E518" s="9"/>
      <c r="F518" s="9"/>
      <c r="G518" s="9"/>
      <c r="H518" s="9"/>
      <c r="I518" s="9" t="s">
        <v>1407</v>
      </c>
      <c r="J518" s="9" t="s">
        <v>43</v>
      </c>
      <c r="K518" s="9" t="s">
        <v>225</v>
      </c>
      <c r="L518" s="9" t="s">
        <v>225</v>
      </c>
      <c r="M518" s="9" t="s">
        <v>226</v>
      </c>
      <c r="O518" s="22" t="s">
        <v>1407</v>
      </c>
      <c r="P518" s="23" t="s">
        <v>43</v>
      </c>
      <c r="Q518" s="23" t="s">
        <v>225</v>
      </c>
      <c r="R518" s="23" t="s">
        <v>225</v>
      </c>
      <c r="S518" s="24" t="s">
        <v>226</v>
      </c>
    </row>
    <row r="519" spans="1:19" ht="15.75" customHeight="1" x14ac:dyDescent="0.2">
      <c r="A519" s="9"/>
      <c r="B519" s="10"/>
      <c r="C519" s="9"/>
      <c r="D519" s="9"/>
      <c r="E519" s="9"/>
      <c r="F519" s="9"/>
      <c r="G519" s="9"/>
      <c r="H519" s="9"/>
      <c r="I519" s="9" t="s">
        <v>1408</v>
      </c>
      <c r="J519" s="9" t="s">
        <v>43</v>
      </c>
      <c r="K519" s="9" t="s">
        <v>226</v>
      </c>
      <c r="L519" s="9" t="s">
        <v>225</v>
      </c>
      <c r="M519" s="9" t="s">
        <v>226</v>
      </c>
      <c r="O519" s="22" t="s">
        <v>1408</v>
      </c>
      <c r="P519" s="23" t="s">
        <v>43</v>
      </c>
      <c r="Q519" s="23" t="s">
        <v>226</v>
      </c>
      <c r="R519" s="23" t="s">
        <v>225</v>
      </c>
      <c r="S519" s="24" t="s">
        <v>226</v>
      </c>
    </row>
    <row r="520" spans="1:19" ht="15.75" customHeight="1" x14ac:dyDescent="0.2">
      <c r="A520" s="9"/>
      <c r="B520" s="10"/>
      <c r="C520" s="9"/>
      <c r="D520" s="9"/>
      <c r="E520" s="9"/>
      <c r="F520" s="9"/>
      <c r="G520" s="9"/>
      <c r="H520" s="9"/>
      <c r="I520" s="9" t="s">
        <v>1409</v>
      </c>
      <c r="J520" s="9" t="s">
        <v>43</v>
      </c>
      <c r="K520" s="9" t="s">
        <v>226</v>
      </c>
      <c r="L520" s="9" t="s">
        <v>225</v>
      </c>
      <c r="M520" s="9" t="s">
        <v>226</v>
      </c>
      <c r="O520" s="22" t="s">
        <v>1409</v>
      </c>
      <c r="P520" s="23" t="s">
        <v>43</v>
      </c>
      <c r="Q520" s="23" t="s">
        <v>226</v>
      </c>
      <c r="R520" s="23" t="s">
        <v>225</v>
      </c>
      <c r="S520" s="24" t="s">
        <v>226</v>
      </c>
    </row>
    <row r="521" spans="1:19" ht="15.75" customHeight="1" x14ac:dyDescent="0.2">
      <c r="A521" s="9"/>
      <c r="B521" s="10"/>
      <c r="C521" s="9"/>
      <c r="D521" s="9"/>
      <c r="E521" s="9"/>
      <c r="F521" s="9"/>
      <c r="G521" s="9"/>
      <c r="H521" s="9"/>
      <c r="I521" s="9" t="s">
        <v>1410</v>
      </c>
      <c r="J521" s="9" t="s">
        <v>43</v>
      </c>
      <c r="K521" s="9" t="s">
        <v>226</v>
      </c>
      <c r="L521" s="9" t="s">
        <v>225</v>
      </c>
      <c r="M521" s="9" t="s">
        <v>226</v>
      </c>
      <c r="O521" s="22" t="s">
        <v>1410</v>
      </c>
      <c r="P521" s="23" t="s">
        <v>43</v>
      </c>
      <c r="Q521" s="23" t="s">
        <v>226</v>
      </c>
      <c r="R521" s="23" t="s">
        <v>225</v>
      </c>
      <c r="S521" s="24" t="s">
        <v>226</v>
      </c>
    </row>
    <row r="522" spans="1:19" ht="15.75" customHeight="1" x14ac:dyDescent="0.2">
      <c r="A522" s="9"/>
      <c r="B522" s="10"/>
      <c r="C522" s="9"/>
      <c r="D522" s="9"/>
      <c r="E522" s="9"/>
      <c r="F522" s="9"/>
      <c r="G522" s="9"/>
      <c r="H522" s="9"/>
      <c r="I522" s="9" t="s">
        <v>1411</v>
      </c>
      <c r="J522" s="9" t="s">
        <v>43</v>
      </c>
      <c r="K522" s="9" t="s">
        <v>226</v>
      </c>
      <c r="L522" s="9" t="s">
        <v>225</v>
      </c>
      <c r="M522" s="9" t="s">
        <v>226</v>
      </c>
      <c r="O522" s="22" t="s">
        <v>1411</v>
      </c>
      <c r="P522" s="23" t="s">
        <v>43</v>
      </c>
      <c r="Q522" s="23" t="s">
        <v>226</v>
      </c>
      <c r="R522" s="23" t="s">
        <v>225</v>
      </c>
      <c r="S522" s="24" t="s">
        <v>226</v>
      </c>
    </row>
    <row r="523" spans="1:19" ht="15.75" customHeight="1" x14ac:dyDescent="0.2">
      <c r="A523" s="9"/>
      <c r="B523" s="10"/>
      <c r="C523" s="9"/>
      <c r="D523" s="9"/>
      <c r="E523" s="9"/>
      <c r="F523" s="9"/>
      <c r="G523" s="9"/>
      <c r="H523" s="9"/>
      <c r="I523" s="9" t="s">
        <v>1412</v>
      </c>
      <c r="J523" s="9" t="s">
        <v>43</v>
      </c>
      <c r="K523" s="9" t="s">
        <v>225</v>
      </c>
      <c r="L523" s="9" t="s">
        <v>225</v>
      </c>
      <c r="M523" s="9" t="s">
        <v>225</v>
      </c>
      <c r="O523" s="22" t="s">
        <v>1412</v>
      </c>
      <c r="P523" s="23" t="s">
        <v>43</v>
      </c>
      <c r="Q523" s="23" t="s">
        <v>225</v>
      </c>
      <c r="R523" s="23" t="s">
        <v>225</v>
      </c>
      <c r="S523" s="24" t="s">
        <v>225</v>
      </c>
    </row>
    <row r="524" spans="1:19" ht="15.75" customHeight="1" x14ac:dyDescent="0.2">
      <c r="A524" s="9"/>
      <c r="B524" s="10"/>
      <c r="C524" s="9"/>
      <c r="D524" s="9"/>
      <c r="E524" s="9"/>
      <c r="F524" s="9"/>
      <c r="G524" s="9"/>
      <c r="H524" s="9"/>
      <c r="I524" s="9" t="s">
        <v>1413</v>
      </c>
      <c r="J524" s="9" t="s">
        <v>43</v>
      </c>
      <c r="K524" s="9" t="s">
        <v>226</v>
      </c>
      <c r="L524" s="9" t="s">
        <v>225</v>
      </c>
      <c r="M524" s="9" t="s">
        <v>225</v>
      </c>
      <c r="O524" s="22" t="s">
        <v>1413</v>
      </c>
      <c r="P524" s="23" t="s">
        <v>43</v>
      </c>
      <c r="Q524" s="23" t="s">
        <v>226</v>
      </c>
      <c r="R524" s="23" t="s">
        <v>225</v>
      </c>
      <c r="S524" s="24" t="s">
        <v>225</v>
      </c>
    </row>
    <row r="525" spans="1:19" ht="15.75" customHeight="1" x14ac:dyDescent="0.2">
      <c r="A525" s="9"/>
      <c r="B525" s="10"/>
      <c r="C525" s="9"/>
      <c r="D525" s="9"/>
      <c r="E525" s="9"/>
      <c r="F525" s="9"/>
      <c r="G525" s="9"/>
      <c r="H525" s="9"/>
      <c r="I525" s="9" t="s">
        <v>1414</v>
      </c>
      <c r="J525" s="9" t="s">
        <v>43</v>
      </c>
      <c r="K525" s="9" t="s">
        <v>226</v>
      </c>
      <c r="L525" s="9" t="s">
        <v>225</v>
      </c>
      <c r="M525" s="9" t="s">
        <v>225</v>
      </c>
      <c r="O525" s="22" t="s">
        <v>1414</v>
      </c>
      <c r="P525" s="23" t="s">
        <v>43</v>
      </c>
      <c r="Q525" s="23" t="s">
        <v>226</v>
      </c>
      <c r="R525" s="23" t="s">
        <v>225</v>
      </c>
      <c r="S525" s="24" t="s">
        <v>225</v>
      </c>
    </row>
    <row r="526" spans="1:19" ht="15.75" customHeight="1" x14ac:dyDescent="0.2">
      <c r="A526" s="9"/>
      <c r="B526" s="10"/>
      <c r="C526" s="9"/>
      <c r="D526" s="9"/>
      <c r="E526" s="9"/>
      <c r="F526" s="9"/>
      <c r="G526" s="9"/>
      <c r="H526" s="9"/>
      <c r="I526" s="9" t="s">
        <v>1415</v>
      </c>
      <c r="J526" s="9" t="s">
        <v>43</v>
      </c>
      <c r="K526" s="9" t="s">
        <v>226</v>
      </c>
      <c r="L526" s="9" t="s">
        <v>225</v>
      </c>
      <c r="M526" s="9" t="s">
        <v>225</v>
      </c>
      <c r="O526" s="22" t="s">
        <v>1415</v>
      </c>
      <c r="P526" s="23" t="s">
        <v>43</v>
      </c>
      <c r="Q526" s="23" t="s">
        <v>226</v>
      </c>
      <c r="R526" s="23" t="s">
        <v>225</v>
      </c>
      <c r="S526" s="24" t="s">
        <v>225</v>
      </c>
    </row>
    <row r="527" spans="1:19" ht="15.75" customHeight="1" x14ac:dyDescent="0.2">
      <c r="A527" s="9"/>
      <c r="B527" s="10"/>
      <c r="C527" s="9"/>
      <c r="D527" s="9"/>
      <c r="E527" s="9"/>
      <c r="F527" s="9"/>
      <c r="G527" s="9"/>
      <c r="H527" s="9"/>
      <c r="I527" s="9" t="s">
        <v>1416</v>
      </c>
      <c r="J527" s="9" t="s">
        <v>43</v>
      </c>
      <c r="K527" s="9" t="s">
        <v>226</v>
      </c>
      <c r="L527" s="9" t="s">
        <v>225</v>
      </c>
      <c r="M527" s="9" t="s">
        <v>225</v>
      </c>
      <c r="O527" s="22" t="s">
        <v>1416</v>
      </c>
      <c r="P527" s="23" t="s">
        <v>43</v>
      </c>
      <c r="Q527" s="23" t="s">
        <v>226</v>
      </c>
      <c r="R527" s="23" t="s">
        <v>225</v>
      </c>
      <c r="S527" s="24" t="s">
        <v>225</v>
      </c>
    </row>
    <row r="528" spans="1:19" ht="15.75" customHeight="1" x14ac:dyDescent="0.2">
      <c r="A528" s="9"/>
      <c r="B528" s="10"/>
      <c r="C528" s="9"/>
      <c r="D528" s="9"/>
      <c r="E528" s="9"/>
      <c r="F528" s="9"/>
      <c r="G528" s="9"/>
      <c r="H528" s="9"/>
      <c r="I528" s="9" t="s">
        <v>1417</v>
      </c>
      <c r="J528" s="9" t="s">
        <v>43</v>
      </c>
      <c r="K528" s="9" t="s">
        <v>226</v>
      </c>
      <c r="L528" s="9" t="s">
        <v>225</v>
      </c>
      <c r="M528" s="9" t="s">
        <v>225</v>
      </c>
      <c r="O528" s="22" t="s">
        <v>1417</v>
      </c>
      <c r="P528" s="23" t="s">
        <v>43</v>
      </c>
      <c r="Q528" s="23" t="s">
        <v>226</v>
      </c>
      <c r="R528" s="23" t="s">
        <v>225</v>
      </c>
      <c r="S528" s="24" t="s">
        <v>225</v>
      </c>
    </row>
    <row r="529" spans="1:19" ht="15.75" customHeight="1" x14ac:dyDescent="0.2">
      <c r="A529" s="9"/>
      <c r="B529" s="10"/>
      <c r="C529" s="9"/>
      <c r="D529" s="9"/>
      <c r="E529" s="9"/>
      <c r="F529" s="9"/>
      <c r="G529" s="9"/>
      <c r="H529" s="9"/>
      <c r="I529" s="9" t="s">
        <v>1418</v>
      </c>
      <c r="J529" s="9" t="s">
        <v>43</v>
      </c>
      <c r="K529" s="9" t="s">
        <v>226</v>
      </c>
      <c r="L529" s="9" t="s">
        <v>225</v>
      </c>
      <c r="M529" s="9" t="s">
        <v>225</v>
      </c>
      <c r="O529" s="22" t="s">
        <v>1418</v>
      </c>
      <c r="P529" s="23" t="s">
        <v>43</v>
      </c>
      <c r="Q529" s="23" t="s">
        <v>226</v>
      </c>
      <c r="R529" s="23" t="s">
        <v>225</v>
      </c>
      <c r="S529" s="24" t="s">
        <v>225</v>
      </c>
    </row>
    <row r="530" spans="1:19" ht="15.75" customHeight="1" x14ac:dyDescent="0.2">
      <c r="A530" s="9"/>
      <c r="B530" s="10"/>
      <c r="C530" s="9"/>
      <c r="D530" s="9"/>
      <c r="E530" s="9"/>
      <c r="F530" s="9"/>
      <c r="G530" s="9"/>
      <c r="H530" s="9"/>
      <c r="I530" s="9" t="s">
        <v>1419</v>
      </c>
      <c r="J530" s="9" t="s">
        <v>43</v>
      </c>
      <c r="K530" s="9" t="s">
        <v>226</v>
      </c>
      <c r="L530" s="9" t="s">
        <v>225</v>
      </c>
      <c r="M530" s="9" t="s">
        <v>225</v>
      </c>
      <c r="O530" s="22" t="s">
        <v>1419</v>
      </c>
      <c r="P530" s="23" t="s">
        <v>43</v>
      </c>
      <c r="Q530" s="23" t="s">
        <v>226</v>
      </c>
      <c r="R530" s="23" t="s">
        <v>225</v>
      </c>
      <c r="S530" s="24" t="s">
        <v>225</v>
      </c>
    </row>
    <row r="531" spans="1:19" ht="15.75" customHeight="1" x14ac:dyDescent="0.2">
      <c r="A531" s="9"/>
      <c r="B531" s="10"/>
      <c r="C531" s="9"/>
      <c r="D531" s="9"/>
      <c r="E531" s="9"/>
      <c r="F531" s="9"/>
      <c r="G531" s="9"/>
      <c r="H531" s="9"/>
      <c r="I531" s="9" t="s">
        <v>1420</v>
      </c>
      <c r="J531" s="9" t="s">
        <v>43</v>
      </c>
      <c r="K531" s="9" t="s">
        <v>226</v>
      </c>
      <c r="L531" s="9" t="s">
        <v>225</v>
      </c>
      <c r="M531" s="9" t="s">
        <v>225</v>
      </c>
      <c r="O531" s="22" t="s">
        <v>1420</v>
      </c>
      <c r="P531" s="23" t="s">
        <v>43</v>
      </c>
      <c r="Q531" s="23" t="s">
        <v>226</v>
      </c>
      <c r="R531" s="23" t="s">
        <v>225</v>
      </c>
      <c r="S531" s="24" t="s">
        <v>225</v>
      </c>
    </row>
    <row r="532" spans="1:19" ht="15.75" customHeight="1" x14ac:dyDescent="0.2">
      <c r="A532" s="9"/>
      <c r="B532" s="10"/>
      <c r="C532" s="9"/>
      <c r="D532" s="9"/>
      <c r="E532" s="9"/>
      <c r="F532" s="9"/>
      <c r="G532" s="9"/>
      <c r="H532" s="9"/>
      <c r="I532" s="9" t="s">
        <v>1421</v>
      </c>
      <c r="J532" s="9" t="s">
        <v>43</v>
      </c>
      <c r="K532" s="9" t="s">
        <v>226</v>
      </c>
      <c r="L532" s="9" t="s">
        <v>225</v>
      </c>
      <c r="M532" s="9" t="s">
        <v>225</v>
      </c>
      <c r="O532" s="22" t="s">
        <v>1421</v>
      </c>
      <c r="P532" s="23" t="s">
        <v>43</v>
      </c>
      <c r="Q532" s="23" t="s">
        <v>226</v>
      </c>
      <c r="R532" s="23" t="s">
        <v>225</v>
      </c>
      <c r="S532" s="24" t="s">
        <v>225</v>
      </c>
    </row>
    <row r="533" spans="1:19" ht="15.75" customHeight="1" x14ac:dyDescent="0.2">
      <c r="A533" s="9"/>
      <c r="B533" s="10"/>
      <c r="C533" s="9"/>
      <c r="D533" s="9"/>
      <c r="E533" s="9"/>
      <c r="F533" s="9"/>
      <c r="G533" s="9"/>
      <c r="H533" s="9"/>
      <c r="I533" s="9" t="s">
        <v>1422</v>
      </c>
      <c r="J533" s="9" t="s">
        <v>43</v>
      </c>
      <c r="K533" s="9" t="s">
        <v>226</v>
      </c>
      <c r="L533" s="9" t="s">
        <v>225</v>
      </c>
      <c r="M533" s="9" t="s">
        <v>225</v>
      </c>
      <c r="O533" s="22" t="s">
        <v>1422</v>
      </c>
      <c r="P533" s="23" t="s">
        <v>43</v>
      </c>
      <c r="Q533" s="23" t="s">
        <v>226</v>
      </c>
      <c r="R533" s="23" t="s">
        <v>225</v>
      </c>
      <c r="S533" s="24" t="s">
        <v>225</v>
      </c>
    </row>
    <row r="534" spans="1:19" ht="15.75" customHeight="1" x14ac:dyDescent="0.2">
      <c r="A534" s="9"/>
      <c r="B534" s="10"/>
      <c r="C534" s="9"/>
      <c r="D534" s="9"/>
      <c r="E534" s="9"/>
      <c r="F534" s="9"/>
      <c r="G534" s="9"/>
      <c r="H534" s="9"/>
      <c r="I534" s="9" t="s">
        <v>1423</v>
      </c>
      <c r="J534" s="9" t="s">
        <v>43</v>
      </c>
      <c r="K534" s="9" t="s">
        <v>225</v>
      </c>
      <c r="L534" s="9" t="s">
        <v>225</v>
      </c>
      <c r="M534" s="9" t="s">
        <v>225</v>
      </c>
      <c r="O534" s="22" t="s">
        <v>1423</v>
      </c>
      <c r="P534" s="23" t="s">
        <v>43</v>
      </c>
      <c r="Q534" s="23" t="s">
        <v>225</v>
      </c>
      <c r="R534" s="23" t="s">
        <v>225</v>
      </c>
      <c r="S534" s="24" t="s">
        <v>225</v>
      </c>
    </row>
    <row r="535" spans="1:19" ht="15.75" customHeight="1" x14ac:dyDescent="0.2">
      <c r="A535" s="9"/>
      <c r="B535" s="10"/>
      <c r="C535" s="9"/>
      <c r="D535" s="9"/>
      <c r="E535" s="9"/>
      <c r="F535" s="9"/>
      <c r="G535" s="9"/>
      <c r="H535" s="9"/>
      <c r="I535" s="9" t="s">
        <v>1424</v>
      </c>
      <c r="J535" s="9" t="s">
        <v>43</v>
      </c>
      <c r="K535" s="9" t="s">
        <v>226</v>
      </c>
      <c r="L535" s="9" t="s">
        <v>225</v>
      </c>
      <c r="M535" s="9" t="s">
        <v>225</v>
      </c>
      <c r="O535" s="22" t="s">
        <v>1424</v>
      </c>
      <c r="P535" s="23" t="s">
        <v>43</v>
      </c>
      <c r="Q535" s="23" t="s">
        <v>226</v>
      </c>
      <c r="R535" s="23" t="s">
        <v>225</v>
      </c>
      <c r="S535" s="24" t="s">
        <v>225</v>
      </c>
    </row>
    <row r="536" spans="1:19" ht="15.75" customHeight="1" x14ac:dyDescent="0.2">
      <c r="A536" s="9"/>
      <c r="B536" s="10"/>
      <c r="C536" s="9"/>
      <c r="D536" s="9"/>
      <c r="E536" s="9"/>
      <c r="F536" s="9"/>
      <c r="G536" s="9"/>
      <c r="H536" s="9"/>
      <c r="I536" s="9" t="s">
        <v>1425</v>
      </c>
      <c r="J536" s="9" t="s">
        <v>43</v>
      </c>
      <c r="K536" s="9" t="s">
        <v>226</v>
      </c>
      <c r="L536" s="9" t="s">
        <v>225</v>
      </c>
      <c r="M536" s="9" t="s">
        <v>225</v>
      </c>
      <c r="O536" s="22" t="s">
        <v>1425</v>
      </c>
      <c r="P536" s="23" t="s">
        <v>43</v>
      </c>
      <c r="Q536" s="23" t="s">
        <v>226</v>
      </c>
      <c r="R536" s="23" t="s">
        <v>225</v>
      </c>
      <c r="S536" s="24" t="s">
        <v>225</v>
      </c>
    </row>
    <row r="537" spans="1:19" ht="15.75" customHeight="1" x14ac:dyDescent="0.2">
      <c r="A537" s="9"/>
      <c r="B537" s="10"/>
      <c r="C537" s="9"/>
      <c r="D537" s="9"/>
      <c r="E537" s="9"/>
      <c r="F537" s="9"/>
      <c r="G537" s="9"/>
      <c r="H537" s="9"/>
      <c r="I537" s="9" t="s">
        <v>1426</v>
      </c>
      <c r="J537" s="9" t="s">
        <v>43</v>
      </c>
      <c r="K537" s="9" t="s">
        <v>226</v>
      </c>
      <c r="L537" s="9" t="s">
        <v>225</v>
      </c>
      <c r="M537" s="9" t="s">
        <v>225</v>
      </c>
      <c r="O537" s="22" t="s">
        <v>1426</v>
      </c>
      <c r="P537" s="23" t="s">
        <v>43</v>
      </c>
      <c r="Q537" s="23" t="s">
        <v>226</v>
      </c>
      <c r="R537" s="23" t="s">
        <v>225</v>
      </c>
      <c r="S537" s="24" t="s">
        <v>225</v>
      </c>
    </row>
    <row r="538" spans="1:19" ht="15.75" customHeight="1" x14ac:dyDescent="0.2">
      <c r="A538" s="9"/>
      <c r="B538" s="10"/>
      <c r="C538" s="9"/>
      <c r="D538" s="9"/>
      <c r="E538" s="9"/>
      <c r="F538" s="9"/>
      <c r="G538" s="9"/>
      <c r="H538" s="9"/>
      <c r="I538" s="9" t="s">
        <v>1427</v>
      </c>
      <c r="J538" s="9" t="s">
        <v>43</v>
      </c>
      <c r="K538" s="9" t="s">
        <v>226</v>
      </c>
      <c r="L538" s="9" t="s">
        <v>225</v>
      </c>
      <c r="M538" s="9" t="s">
        <v>225</v>
      </c>
      <c r="O538" s="22" t="s">
        <v>1427</v>
      </c>
      <c r="P538" s="23" t="s">
        <v>43</v>
      </c>
      <c r="Q538" s="23" t="s">
        <v>226</v>
      </c>
      <c r="R538" s="23" t="s">
        <v>225</v>
      </c>
      <c r="S538" s="24" t="s">
        <v>225</v>
      </c>
    </row>
    <row r="539" spans="1:19" ht="15.75" customHeight="1" x14ac:dyDescent="0.2">
      <c r="A539" s="9"/>
      <c r="B539" s="10"/>
      <c r="C539" s="9"/>
      <c r="D539" s="9"/>
      <c r="E539" s="9"/>
      <c r="F539" s="9"/>
      <c r="G539" s="9"/>
      <c r="H539" s="9"/>
      <c r="I539" s="9" t="s">
        <v>1428</v>
      </c>
      <c r="J539" s="9" t="s">
        <v>43</v>
      </c>
      <c r="K539" s="9" t="s">
        <v>226</v>
      </c>
      <c r="L539" s="9" t="s">
        <v>225</v>
      </c>
      <c r="M539" s="9" t="s">
        <v>225</v>
      </c>
      <c r="O539" s="22" t="s">
        <v>1428</v>
      </c>
      <c r="P539" s="23" t="s">
        <v>43</v>
      </c>
      <c r="Q539" s="23" t="s">
        <v>226</v>
      </c>
      <c r="R539" s="23" t="s">
        <v>225</v>
      </c>
      <c r="S539" s="24" t="s">
        <v>225</v>
      </c>
    </row>
    <row r="540" spans="1:19" ht="15.75" customHeight="1" x14ac:dyDescent="0.2">
      <c r="A540" s="9"/>
      <c r="B540" s="10"/>
      <c r="C540" s="9"/>
      <c r="D540" s="9"/>
      <c r="E540" s="9"/>
      <c r="F540" s="9"/>
      <c r="G540" s="9"/>
      <c r="H540" s="9"/>
      <c r="I540" s="9" t="s">
        <v>1429</v>
      </c>
      <c r="J540" s="9" t="s">
        <v>43</v>
      </c>
      <c r="K540" s="9" t="s">
        <v>226</v>
      </c>
      <c r="L540" s="9" t="s">
        <v>225</v>
      </c>
      <c r="M540" s="9" t="s">
        <v>225</v>
      </c>
      <c r="O540" s="22" t="s">
        <v>1429</v>
      </c>
      <c r="P540" s="23" t="s">
        <v>43</v>
      </c>
      <c r="Q540" s="23" t="s">
        <v>226</v>
      </c>
      <c r="R540" s="23" t="s">
        <v>225</v>
      </c>
      <c r="S540" s="24" t="s">
        <v>225</v>
      </c>
    </row>
    <row r="541" spans="1:19" ht="15.75" customHeight="1" x14ac:dyDescent="0.2">
      <c r="A541" s="9"/>
      <c r="B541" s="10"/>
      <c r="C541" s="9"/>
      <c r="D541" s="9"/>
      <c r="E541" s="9"/>
      <c r="F541" s="9"/>
      <c r="G541" s="9"/>
      <c r="H541" s="9"/>
      <c r="I541" s="9" t="s">
        <v>1430</v>
      </c>
      <c r="J541" s="9" t="s">
        <v>43</v>
      </c>
      <c r="K541" s="9" t="s">
        <v>225</v>
      </c>
      <c r="L541" s="9" t="s">
        <v>225</v>
      </c>
      <c r="M541" s="9" t="s">
        <v>226</v>
      </c>
      <c r="O541" s="22" t="s">
        <v>1430</v>
      </c>
      <c r="P541" s="23" t="s">
        <v>43</v>
      </c>
      <c r="Q541" s="23" t="s">
        <v>225</v>
      </c>
      <c r="R541" s="23" t="s">
        <v>225</v>
      </c>
      <c r="S541" s="24" t="s">
        <v>226</v>
      </c>
    </row>
    <row r="542" spans="1:19" ht="15.75" customHeight="1" x14ac:dyDescent="0.2">
      <c r="A542" s="9"/>
      <c r="B542" s="10"/>
      <c r="C542" s="9"/>
      <c r="D542" s="9"/>
      <c r="E542" s="9"/>
      <c r="F542" s="9"/>
      <c r="G542" s="9"/>
      <c r="H542" s="9"/>
      <c r="I542" s="9" t="s">
        <v>1431</v>
      </c>
      <c r="J542" s="9" t="s">
        <v>43</v>
      </c>
      <c r="K542" s="9" t="s">
        <v>225</v>
      </c>
      <c r="L542" s="9" t="s">
        <v>225</v>
      </c>
      <c r="M542" s="9" t="s">
        <v>226</v>
      </c>
      <c r="O542" s="22" t="s">
        <v>1431</v>
      </c>
      <c r="P542" s="23" t="s">
        <v>43</v>
      </c>
      <c r="Q542" s="23" t="s">
        <v>225</v>
      </c>
      <c r="R542" s="23" t="s">
        <v>225</v>
      </c>
      <c r="S542" s="24" t="s">
        <v>226</v>
      </c>
    </row>
    <row r="543" spans="1:19" ht="15.75" customHeight="1" x14ac:dyDescent="0.2">
      <c r="A543" s="9"/>
      <c r="B543" s="10"/>
      <c r="C543" s="9"/>
      <c r="D543" s="9"/>
      <c r="E543" s="9"/>
      <c r="F543" s="9"/>
      <c r="G543" s="9"/>
      <c r="H543" s="9"/>
      <c r="I543" s="9" t="s">
        <v>1432</v>
      </c>
      <c r="J543" s="9" t="s">
        <v>43</v>
      </c>
      <c r="K543" s="9" t="s">
        <v>225</v>
      </c>
      <c r="L543" s="9" t="s">
        <v>225</v>
      </c>
      <c r="M543" s="9" t="s">
        <v>226</v>
      </c>
      <c r="O543" s="22" t="s">
        <v>1432</v>
      </c>
      <c r="P543" s="23" t="s">
        <v>43</v>
      </c>
      <c r="Q543" s="23" t="s">
        <v>225</v>
      </c>
      <c r="R543" s="23" t="s">
        <v>225</v>
      </c>
      <c r="S543" s="24" t="s">
        <v>226</v>
      </c>
    </row>
    <row r="544" spans="1:19" ht="15.75" customHeight="1" x14ac:dyDescent="0.2">
      <c r="A544" s="9"/>
      <c r="B544" s="10"/>
      <c r="C544" s="9"/>
      <c r="D544" s="9"/>
      <c r="E544" s="9"/>
      <c r="F544" s="9"/>
      <c r="G544" s="9"/>
      <c r="H544" s="9"/>
      <c r="I544" s="9" t="s">
        <v>1433</v>
      </c>
      <c r="J544" s="9" t="s">
        <v>43</v>
      </c>
      <c r="K544" s="9" t="s">
        <v>226</v>
      </c>
      <c r="L544" s="9" t="s">
        <v>225</v>
      </c>
      <c r="M544" s="9" t="s">
        <v>226</v>
      </c>
      <c r="O544" s="22" t="s">
        <v>1433</v>
      </c>
      <c r="P544" s="23" t="s">
        <v>43</v>
      </c>
      <c r="Q544" s="23" t="s">
        <v>226</v>
      </c>
      <c r="R544" s="23" t="s">
        <v>225</v>
      </c>
      <c r="S544" s="24" t="s">
        <v>226</v>
      </c>
    </row>
    <row r="545" spans="1:19" ht="15.75" customHeight="1" x14ac:dyDescent="0.2">
      <c r="A545" s="9"/>
      <c r="B545" s="10"/>
      <c r="C545" s="9"/>
      <c r="D545" s="9"/>
      <c r="E545" s="9"/>
      <c r="F545" s="9"/>
      <c r="G545" s="9"/>
      <c r="H545" s="9"/>
      <c r="I545" s="9" t="s">
        <v>1434</v>
      </c>
      <c r="J545" s="9" t="s">
        <v>43</v>
      </c>
      <c r="K545" s="9" t="s">
        <v>226</v>
      </c>
      <c r="L545" s="9" t="s">
        <v>225</v>
      </c>
      <c r="M545" s="9" t="s">
        <v>226</v>
      </c>
      <c r="O545" s="22" t="s">
        <v>1434</v>
      </c>
      <c r="P545" s="23" t="s">
        <v>43</v>
      </c>
      <c r="Q545" s="23" t="s">
        <v>226</v>
      </c>
      <c r="R545" s="23" t="s">
        <v>225</v>
      </c>
      <c r="S545" s="24" t="s">
        <v>226</v>
      </c>
    </row>
    <row r="546" spans="1:19" ht="15.75" customHeight="1" x14ac:dyDescent="0.2">
      <c r="A546" s="9"/>
      <c r="B546" s="10"/>
      <c r="C546" s="9"/>
      <c r="D546" s="9"/>
      <c r="E546" s="9"/>
      <c r="F546" s="9"/>
      <c r="G546" s="9"/>
      <c r="H546" s="9"/>
      <c r="I546" s="9" t="s">
        <v>1435</v>
      </c>
      <c r="J546" s="9" t="s">
        <v>43</v>
      </c>
      <c r="K546" s="9" t="s">
        <v>226</v>
      </c>
      <c r="L546" s="9" t="s">
        <v>225</v>
      </c>
      <c r="M546" s="9" t="s">
        <v>226</v>
      </c>
      <c r="O546" s="22" t="s">
        <v>1435</v>
      </c>
      <c r="P546" s="23" t="s">
        <v>43</v>
      </c>
      <c r="Q546" s="23" t="s">
        <v>226</v>
      </c>
      <c r="R546" s="23" t="s">
        <v>225</v>
      </c>
      <c r="S546" s="24" t="s">
        <v>226</v>
      </c>
    </row>
    <row r="547" spans="1:19" ht="15.75" customHeight="1" x14ac:dyDescent="0.2">
      <c r="A547" s="9"/>
      <c r="B547" s="10"/>
      <c r="C547" s="9"/>
      <c r="D547" s="9"/>
      <c r="E547" s="9"/>
      <c r="F547" s="9"/>
      <c r="G547" s="9"/>
      <c r="H547" s="9"/>
      <c r="I547" s="9" t="s">
        <v>1436</v>
      </c>
      <c r="J547" s="9" t="s">
        <v>43</v>
      </c>
      <c r="K547" s="9" t="s">
        <v>226</v>
      </c>
      <c r="L547" s="9" t="s">
        <v>225</v>
      </c>
      <c r="M547" s="9" t="s">
        <v>226</v>
      </c>
      <c r="O547" s="22" t="s">
        <v>1436</v>
      </c>
      <c r="P547" s="23" t="s">
        <v>43</v>
      </c>
      <c r="Q547" s="23" t="s">
        <v>226</v>
      </c>
      <c r="R547" s="23" t="s">
        <v>225</v>
      </c>
      <c r="S547" s="24" t="s">
        <v>226</v>
      </c>
    </row>
    <row r="548" spans="1:19" ht="15.75" customHeight="1" x14ac:dyDescent="0.2">
      <c r="A548" s="9"/>
      <c r="B548" s="10"/>
      <c r="C548" s="9"/>
      <c r="D548" s="9"/>
      <c r="E548" s="9"/>
      <c r="F548" s="9"/>
      <c r="G548" s="9"/>
      <c r="H548" s="9"/>
      <c r="I548" s="9" t="s">
        <v>1437</v>
      </c>
      <c r="J548" s="9" t="s">
        <v>43</v>
      </c>
      <c r="K548" s="9" t="s">
        <v>225</v>
      </c>
      <c r="L548" s="9" t="s">
        <v>225</v>
      </c>
      <c r="M548" s="9" t="s">
        <v>225</v>
      </c>
      <c r="O548" s="22" t="s">
        <v>1437</v>
      </c>
      <c r="P548" s="23" t="s">
        <v>43</v>
      </c>
      <c r="Q548" s="23" t="s">
        <v>225</v>
      </c>
      <c r="R548" s="23" t="s">
        <v>225</v>
      </c>
      <c r="S548" s="24" t="s">
        <v>225</v>
      </c>
    </row>
    <row r="549" spans="1:19" ht="15.75" customHeight="1" x14ac:dyDescent="0.2">
      <c r="A549" s="9"/>
      <c r="B549" s="10"/>
      <c r="C549" s="9"/>
      <c r="D549" s="9"/>
      <c r="E549" s="9"/>
      <c r="F549" s="9"/>
      <c r="G549" s="9"/>
      <c r="H549" s="9"/>
      <c r="I549" s="9" t="s">
        <v>1438</v>
      </c>
      <c r="J549" s="9" t="s">
        <v>43</v>
      </c>
      <c r="K549" s="9" t="s">
        <v>226</v>
      </c>
      <c r="L549" s="9" t="s">
        <v>225</v>
      </c>
      <c r="M549" s="9" t="s">
        <v>225</v>
      </c>
      <c r="O549" s="22" t="s">
        <v>1438</v>
      </c>
      <c r="P549" s="23" t="s">
        <v>43</v>
      </c>
      <c r="Q549" s="23" t="s">
        <v>226</v>
      </c>
      <c r="R549" s="23" t="s">
        <v>225</v>
      </c>
      <c r="S549" s="24" t="s">
        <v>225</v>
      </c>
    </row>
    <row r="550" spans="1:19" ht="15.75" customHeight="1" x14ac:dyDescent="0.2">
      <c r="A550" s="9"/>
      <c r="B550" s="10"/>
      <c r="C550" s="9"/>
      <c r="D550" s="9"/>
      <c r="E550" s="9"/>
      <c r="F550" s="9"/>
      <c r="G550" s="9"/>
      <c r="H550" s="9"/>
      <c r="I550" s="9" t="s">
        <v>1439</v>
      </c>
      <c r="J550" s="9" t="s">
        <v>110</v>
      </c>
      <c r="K550" s="9" t="s">
        <v>226</v>
      </c>
      <c r="L550" s="9" t="s">
        <v>225</v>
      </c>
      <c r="M550" s="9" t="s">
        <v>225</v>
      </c>
      <c r="O550" s="22" t="s">
        <v>1439</v>
      </c>
      <c r="P550" s="23" t="s">
        <v>110</v>
      </c>
      <c r="Q550" s="23" t="s">
        <v>226</v>
      </c>
      <c r="R550" s="23" t="s">
        <v>225</v>
      </c>
      <c r="S550" s="24" t="s">
        <v>225</v>
      </c>
    </row>
    <row r="551" spans="1:19" ht="15.75" customHeight="1" x14ac:dyDescent="0.2">
      <c r="A551" s="9"/>
      <c r="B551" s="10"/>
      <c r="C551" s="9"/>
      <c r="D551" s="9"/>
      <c r="E551" s="9"/>
      <c r="F551" s="9"/>
      <c r="G551" s="9"/>
      <c r="H551" s="9"/>
      <c r="I551" s="9" t="s">
        <v>1440</v>
      </c>
      <c r="J551" s="9" t="s">
        <v>1059</v>
      </c>
      <c r="K551" s="9" t="s">
        <v>225</v>
      </c>
      <c r="L551" s="9" t="s">
        <v>225</v>
      </c>
      <c r="M551" s="9" t="s">
        <v>225</v>
      </c>
      <c r="O551" s="22" t="s">
        <v>1440</v>
      </c>
      <c r="P551" s="23" t="s">
        <v>1059</v>
      </c>
      <c r="Q551" s="23" t="s">
        <v>225</v>
      </c>
      <c r="R551" s="23" t="s">
        <v>225</v>
      </c>
      <c r="S551" s="24" t="s">
        <v>225</v>
      </c>
    </row>
    <row r="552" spans="1:19" ht="15.75" customHeight="1" x14ac:dyDescent="0.2">
      <c r="A552" s="9"/>
      <c r="B552" s="10"/>
      <c r="C552" s="9"/>
      <c r="D552" s="9"/>
      <c r="E552" s="9"/>
      <c r="F552" s="9"/>
      <c r="G552" s="9"/>
      <c r="H552" s="9"/>
      <c r="I552" s="9" t="s">
        <v>1441</v>
      </c>
      <c r="J552" s="9" t="s">
        <v>1059</v>
      </c>
      <c r="K552" s="9" t="s">
        <v>225</v>
      </c>
      <c r="L552" s="9" t="s">
        <v>225</v>
      </c>
      <c r="M552" s="9" t="s">
        <v>225</v>
      </c>
      <c r="O552" s="22" t="s">
        <v>1441</v>
      </c>
      <c r="P552" s="23" t="s">
        <v>1059</v>
      </c>
      <c r="Q552" s="23" t="s">
        <v>225</v>
      </c>
      <c r="R552" s="23" t="s">
        <v>225</v>
      </c>
      <c r="S552" s="24" t="s">
        <v>225</v>
      </c>
    </row>
    <row r="553" spans="1:19" ht="15.75" customHeight="1" x14ac:dyDescent="0.2">
      <c r="A553" s="9"/>
      <c r="B553" s="10"/>
      <c r="C553" s="9"/>
      <c r="D553" s="9"/>
      <c r="E553" s="9"/>
      <c r="F553" s="9"/>
      <c r="G553" s="9"/>
      <c r="H553" s="9"/>
      <c r="I553" s="9" t="s">
        <v>1442</v>
      </c>
      <c r="J553" s="9" t="s">
        <v>1059</v>
      </c>
      <c r="K553" s="9" t="s">
        <v>225</v>
      </c>
      <c r="L553" s="9" t="s">
        <v>225</v>
      </c>
      <c r="M553" s="9" t="s">
        <v>225</v>
      </c>
      <c r="O553" s="22" t="s">
        <v>1442</v>
      </c>
      <c r="P553" s="23" t="s">
        <v>1059</v>
      </c>
      <c r="Q553" s="23" t="s">
        <v>225</v>
      </c>
      <c r="R553" s="23" t="s">
        <v>225</v>
      </c>
      <c r="S553" s="24" t="s">
        <v>225</v>
      </c>
    </row>
    <row r="554" spans="1:19" ht="15.75" customHeight="1" x14ac:dyDescent="0.2">
      <c r="A554" s="9"/>
      <c r="B554" s="10"/>
      <c r="C554" s="9"/>
      <c r="D554" s="9"/>
      <c r="E554" s="9"/>
      <c r="F554" s="9"/>
      <c r="G554" s="9"/>
      <c r="H554" s="9"/>
      <c r="I554" s="9" t="s">
        <v>1443</v>
      </c>
      <c r="J554" s="9" t="s">
        <v>1059</v>
      </c>
      <c r="K554" s="9" t="s">
        <v>225</v>
      </c>
      <c r="L554" s="9" t="s">
        <v>225</v>
      </c>
      <c r="M554" s="9" t="s">
        <v>225</v>
      </c>
      <c r="O554" s="22" t="s">
        <v>1443</v>
      </c>
      <c r="P554" s="23" t="s">
        <v>1059</v>
      </c>
      <c r="Q554" s="23" t="s">
        <v>225</v>
      </c>
      <c r="R554" s="23" t="s">
        <v>225</v>
      </c>
      <c r="S554" s="24" t="s">
        <v>225</v>
      </c>
    </row>
    <row r="555" spans="1:19" ht="15.75" customHeight="1" x14ac:dyDescent="0.2">
      <c r="A555" s="9"/>
      <c r="B555" s="10"/>
      <c r="C555" s="9"/>
      <c r="D555" s="9"/>
      <c r="E555" s="9"/>
      <c r="F555" s="9"/>
      <c r="G555" s="9"/>
      <c r="H555" s="9"/>
      <c r="I555" s="9" t="s">
        <v>1444</v>
      </c>
      <c r="J555" s="9" t="s">
        <v>43</v>
      </c>
      <c r="K555" s="9" t="s">
        <v>225</v>
      </c>
      <c r="L555" s="9" t="s">
        <v>225</v>
      </c>
      <c r="M555" s="9" t="s">
        <v>225</v>
      </c>
      <c r="O555" s="22" t="s">
        <v>1444</v>
      </c>
      <c r="P555" s="23" t="s">
        <v>43</v>
      </c>
      <c r="Q555" s="23" t="s">
        <v>225</v>
      </c>
      <c r="R555" s="23" t="s">
        <v>225</v>
      </c>
      <c r="S555" s="24" t="s">
        <v>225</v>
      </c>
    </row>
    <row r="556" spans="1:19" ht="15.75" customHeight="1" x14ac:dyDescent="0.2">
      <c r="A556" s="9"/>
      <c r="B556" s="10"/>
      <c r="C556" s="9"/>
      <c r="D556" s="9"/>
      <c r="E556" s="9"/>
      <c r="F556" s="9"/>
      <c r="G556" s="9"/>
      <c r="H556" s="9"/>
      <c r="I556" s="9" t="s">
        <v>1445</v>
      </c>
      <c r="J556" s="9" t="s">
        <v>43</v>
      </c>
      <c r="K556" s="9" t="s">
        <v>225</v>
      </c>
      <c r="L556" s="9" t="s">
        <v>225</v>
      </c>
      <c r="M556" s="9" t="s">
        <v>226</v>
      </c>
      <c r="O556" s="22" t="s">
        <v>1445</v>
      </c>
      <c r="P556" s="23" t="s">
        <v>43</v>
      </c>
      <c r="Q556" s="23" t="s">
        <v>225</v>
      </c>
      <c r="R556" s="23" t="s">
        <v>225</v>
      </c>
      <c r="S556" s="24" t="s">
        <v>226</v>
      </c>
    </row>
    <row r="557" spans="1:19" ht="15.75" customHeight="1" x14ac:dyDescent="0.2">
      <c r="A557" s="9"/>
      <c r="B557" s="10"/>
      <c r="C557" s="9"/>
      <c r="D557" s="9"/>
      <c r="E557" s="9"/>
      <c r="F557" s="9"/>
      <c r="G557" s="9"/>
      <c r="H557" s="9"/>
      <c r="I557" s="9" t="s">
        <v>1446</v>
      </c>
      <c r="J557" s="9" t="s">
        <v>43</v>
      </c>
      <c r="K557" s="9" t="s">
        <v>226</v>
      </c>
      <c r="L557" s="9" t="s">
        <v>225</v>
      </c>
      <c r="M557" s="9" t="s">
        <v>226</v>
      </c>
      <c r="O557" s="22" t="s">
        <v>1446</v>
      </c>
      <c r="P557" s="23" t="s">
        <v>43</v>
      </c>
      <c r="Q557" s="23" t="s">
        <v>226</v>
      </c>
      <c r="R557" s="23" t="s">
        <v>225</v>
      </c>
      <c r="S557" s="24" t="s">
        <v>226</v>
      </c>
    </row>
    <row r="558" spans="1:19" ht="15.75" customHeight="1" x14ac:dyDescent="0.2">
      <c r="A558" s="9"/>
      <c r="B558" s="10"/>
      <c r="C558" s="9"/>
      <c r="D558" s="9"/>
      <c r="E558" s="9"/>
      <c r="F558" s="9"/>
      <c r="G558" s="9"/>
      <c r="H558" s="9"/>
      <c r="I558" s="9" t="s">
        <v>1447</v>
      </c>
      <c r="J558" s="9" t="s">
        <v>43</v>
      </c>
      <c r="K558" s="9" t="s">
        <v>226</v>
      </c>
      <c r="L558" s="9" t="s">
        <v>225</v>
      </c>
      <c r="M558" s="9" t="s">
        <v>226</v>
      </c>
      <c r="O558" s="22" t="s">
        <v>1447</v>
      </c>
      <c r="P558" s="23" t="s">
        <v>43</v>
      </c>
      <c r="Q558" s="23" t="s">
        <v>226</v>
      </c>
      <c r="R558" s="23" t="s">
        <v>225</v>
      </c>
      <c r="S558" s="24" t="s">
        <v>226</v>
      </c>
    </row>
    <row r="559" spans="1:19" ht="15.75" customHeight="1" x14ac:dyDescent="0.2">
      <c r="A559" s="9"/>
      <c r="B559" s="10"/>
      <c r="C559" s="9"/>
      <c r="D559" s="9"/>
      <c r="E559" s="9"/>
      <c r="F559" s="9"/>
      <c r="G559" s="9"/>
      <c r="H559" s="9"/>
      <c r="I559" s="9" t="s">
        <v>1448</v>
      </c>
      <c r="J559" s="9" t="s">
        <v>33</v>
      </c>
      <c r="K559" s="9" t="s">
        <v>225</v>
      </c>
      <c r="L559" s="9" t="s">
        <v>225</v>
      </c>
      <c r="M559" s="9" t="s">
        <v>225</v>
      </c>
      <c r="O559" s="22" t="s">
        <v>1448</v>
      </c>
      <c r="P559" s="23" t="s">
        <v>33</v>
      </c>
      <c r="Q559" s="23" t="s">
        <v>225</v>
      </c>
      <c r="R559" s="23" t="s">
        <v>225</v>
      </c>
      <c r="S559" s="24" t="s">
        <v>225</v>
      </c>
    </row>
    <row r="560" spans="1:19" ht="15.75" customHeight="1" x14ac:dyDescent="0.2">
      <c r="A560" s="9"/>
      <c r="B560" s="10"/>
      <c r="C560" s="9"/>
      <c r="D560" s="9"/>
      <c r="E560" s="9"/>
      <c r="F560" s="9"/>
      <c r="G560" s="9"/>
      <c r="H560" s="9"/>
      <c r="I560" s="9" t="s">
        <v>1449</v>
      </c>
      <c r="J560" s="9" t="s">
        <v>43</v>
      </c>
      <c r="K560" s="9" t="s">
        <v>226</v>
      </c>
      <c r="L560" s="9" t="s">
        <v>225</v>
      </c>
      <c r="M560" s="9" t="s">
        <v>225</v>
      </c>
      <c r="O560" s="22" t="s">
        <v>1449</v>
      </c>
      <c r="P560" s="23" t="s">
        <v>43</v>
      </c>
      <c r="Q560" s="23" t="s">
        <v>226</v>
      </c>
      <c r="R560" s="23" t="s">
        <v>225</v>
      </c>
      <c r="S560" s="24" t="s">
        <v>225</v>
      </c>
    </row>
    <row r="561" spans="1:19" ht="15.75" customHeight="1" x14ac:dyDescent="0.2">
      <c r="A561" s="9"/>
      <c r="B561" s="10"/>
      <c r="C561" s="9"/>
      <c r="D561" s="9"/>
      <c r="E561" s="9"/>
      <c r="F561" s="9"/>
      <c r="G561" s="9"/>
      <c r="H561" s="9"/>
      <c r="I561" s="9" t="s">
        <v>1450</v>
      </c>
      <c r="J561" s="9" t="s">
        <v>43</v>
      </c>
      <c r="K561" s="9" t="s">
        <v>226</v>
      </c>
      <c r="L561" s="9" t="s">
        <v>225</v>
      </c>
      <c r="M561" s="9" t="s">
        <v>225</v>
      </c>
      <c r="O561" s="22" t="s">
        <v>1450</v>
      </c>
      <c r="P561" s="23" t="s">
        <v>43</v>
      </c>
      <c r="Q561" s="23" t="s">
        <v>226</v>
      </c>
      <c r="R561" s="23" t="s">
        <v>225</v>
      </c>
      <c r="S561" s="24" t="s">
        <v>225</v>
      </c>
    </row>
    <row r="562" spans="1:19" ht="15.75" customHeight="1" x14ac:dyDescent="0.2">
      <c r="A562" s="9"/>
      <c r="B562" s="10"/>
      <c r="C562" s="9"/>
      <c r="D562" s="9"/>
      <c r="E562" s="9"/>
      <c r="F562" s="9"/>
      <c r="G562" s="9"/>
      <c r="H562" s="9"/>
      <c r="I562" s="9" t="s">
        <v>1451</v>
      </c>
      <c r="J562" s="9" t="s">
        <v>43</v>
      </c>
      <c r="K562" s="9" t="s">
        <v>226</v>
      </c>
      <c r="L562" s="9" t="s">
        <v>225</v>
      </c>
      <c r="M562" s="9" t="s">
        <v>225</v>
      </c>
      <c r="O562" s="22" t="s">
        <v>1451</v>
      </c>
      <c r="P562" s="23" t="s">
        <v>43</v>
      </c>
      <c r="Q562" s="23" t="s">
        <v>226</v>
      </c>
      <c r="R562" s="23" t="s">
        <v>225</v>
      </c>
      <c r="S562" s="24" t="s">
        <v>225</v>
      </c>
    </row>
    <row r="563" spans="1:19" ht="15.75" customHeight="1" x14ac:dyDescent="0.2">
      <c r="A563" s="9"/>
      <c r="B563" s="10"/>
      <c r="C563" s="9"/>
      <c r="D563" s="9"/>
      <c r="E563" s="9"/>
      <c r="F563" s="9"/>
      <c r="G563" s="9"/>
      <c r="H563" s="9"/>
      <c r="I563" s="9" t="s">
        <v>1452</v>
      </c>
      <c r="J563" s="9" t="s">
        <v>33</v>
      </c>
      <c r="K563" s="9" t="s">
        <v>225</v>
      </c>
      <c r="L563" s="9" t="s">
        <v>225</v>
      </c>
      <c r="M563" s="9" t="s">
        <v>225</v>
      </c>
      <c r="O563" s="22" t="s">
        <v>1452</v>
      </c>
      <c r="P563" s="23" t="s">
        <v>33</v>
      </c>
      <c r="Q563" s="23" t="s">
        <v>225</v>
      </c>
      <c r="R563" s="23" t="s">
        <v>225</v>
      </c>
      <c r="S563" s="24" t="s">
        <v>225</v>
      </c>
    </row>
    <row r="564" spans="1:19" ht="15.75" customHeight="1" x14ac:dyDescent="0.2">
      <c r="A564" s="9"/>
      <c r="B564" s="10"/>
      <c r="C564" s="9"/>
      <c r="D564" s="9"/>
      <c r="E564" s="9"/>
      <c r="F564" s="9"/>
      <c r="G564" s="9"/>
      <c r="H564" s="9"/>
      <c r="I564" s="9" t="s">
        <v>1453</v>
      </c>
      <c r="J564" s="9" t="s">
        <v>43</v>
      </c>
      <c r="K564" s="9" t="s">
        <v>226</v>
      </c>
      <c r="L564" s="9" t="s">
        <v>225</v>
      </c>
      <c r="M564" s="9" t="s">
        <v>225</v>
      </c>
      <c r="O564" s="22" t="s">
        <v>1453</v>
      </c>
      <c r="P564" s="23" t="s">
        <v>43</v>
      </c>
      <c r="Q564" s="23" t="s">
        <v>226</v>
      </c>
      <c r="R564" s="23" t="s">
        <v>225</v>
      </c>
      <c r="S564" s="24" t="s">
        <v>225</v>
      </c>
    </row>
    <row r="565" spans="1:19" ht="15.75" customHeight="1" x14ac:dyDescent="0.2">
      <c r="A565" s="9"/>
      <c r="B565" s="10"/>
      <c r="C565" s="9"/>
      <c r="D565" s="9"/>
      <c r="E565" s="9"/>
      <c r="F565" s="9"/>
      <c r="G565" s="9"/>
      <c r="H565" s="9"/>
      <c r="I565" s="9" t="s">
        <v>1454</v>
      </c>
      <c r="J565" s="9" t="s">
        <v>43</v>
      </c>
      <c r="K565" s="9" t="s">
        <v>225</v>
      </c>
      <c r="L565" s="9" t="s">
        <v>225</v>
      </c>
      <c r="M565" s="9" t="s">
        <v>226</v>
      </c>
      <c r="O565" s="22" t="s">
        <v>1454</v>
      </c>
      <c r="P565" s="23" t="s">
        <v>43</v>
      </c>
      <c r="Q565" s="23" t="s">
        <v>225</v>
      </c>
      <c r="R565" s="23" t="s">
        <v>225</v>
      </c>
      <c r="S565" s="24" t="s">
        <v>226</v>
      </c>
    </row>
    <row r="566" spans="1:19" ht="15.75" customHeight="1" x14ac:dyDescent="0.2">
      <c r="A566" s="9"/>
      <c r="B566" s="10"/>
      <c r="C566" s="9"/>
      <c r="D566" s="9"/>
      <c r="E566" s="9"/>
      <c r="F566" s="9"/>
      <c r="G566" s="9"/>
      <c r="H566" s="9"/>
      <c r="I566" s="9" t="s">
        <v>1455</v>
      </c>
      <c r="J566" s="9" t="s">
        <v>43</v>
      </c>
      <c r="K566" s="9" t="s">
        <v>225</v>
      </c>
      <c r="L566" s="9" t="s">
        <v>225</v>
      </c>
      <c r="M566" s="9" t="s">
        <v>226</v>
      </c>
      <c r="O566" s="22" t="s">
        <v>1455</v>
      </c>
      <c r="P566" s="23" t="s">
        <v>43</v>
      </c>
      <c r="Q566" s="23" t="s">
        <v>225</v>
      </c>
      <c r="R566" s="23" t="s">
        <v>225</v>
      </c>
      <c r="S566" s="24" t="s">
        <v>226</v>
      </c>
    </row>
    <row r="567" spans="1:19" ht="15.75" customHeight="1" x14ac:dyDescent="0.2">
      <c r="A567" s="9"/>
      <c r="B567" s="10"/>
      <c r="C567" s="9"/>
      <c r="D567" s="9"/>
      <c r="E567" s="9"/>
      <c r="F567" s="9"/>
      <c r="G567" s="9"/>
      <c r="H567" s="9"/>
      <c r="I567" s="9" t="s">
        <v>1456</v>
      </c>
      <c r="J567" s="9" t="s">
        <v>43</v>
      </c>
      <c r="K567" s="9" t="s">
        <v>225</v>
      </c>
      <c r="L567" s="9" t="s">
        <v>225</v>
      </c>
      <c r="M567" s="9" t="s">
        <v>226</v>
      </c>
      <c r="O567" s="22" t="s">
        <v>1456</v>
      </c>
      <c r="P567" s="23" t="s">
        <v>43</v>
      </c>
      <c r="Q567" s="23" t="s">
        <v>225</v>
      </c>
      <c r="R567" s="23" t="s">
        <v>225</v>
      </c>
      <c r="S567" s="24" t="s">
        <v>226</v>
      </c>
    </row>
    <row r="568" spans="1:19" ht="15.75" customHeight="1" x14ac:dyDescent="0.2">
      <c r="A568" s="9"/>
      <c r="B568" s="10"/>
      <c r="C568" s="9"/>
      <c r="D568" s="9"/>
      <c r="E568" s="9"/>
      <c r="F568" s="9"/>
      <c r="G568" s="9"/>
      <c r="H568" s="9"/>
      <c r="I568" s="9" t="s">
        <v>1457</v>
      </c>
      <c r="J568" s="9" t="s">
        <v>43</v>
      </c>
      <c r="K568" s="9" t="s">
        <v>225</v>
      </c>
      <c r="L568" s="9" t="s">
        <v>225</v>
      </c>
      <c r="M568" s="9" t="s">
        <v>226</v>
      </c>
      <c r="O568" s="22" t="s">
        <v>1457</v>
      </c>
      <c r="P568" s="23" t="s">
        <v>43</v>
      </c>
      <c r="Q568" s="23" t="s">
        <v>225</v>
      </c>
      <c r="R568" s="23" t="s">
        <v>225</v>
      </c>
      <c r="S568" s="24" t="s">
        <v>226</v>
      </c>
    </row>
    <row r="569" spans="1:19" ht="15.75" customHeight="1" x14ac:dyDescent="0.2">
      <c r="A569" s="9"/>
      <c r="B569" s="10"/>
      <c r="C569" s="9"/>
      <c r="D569" s="9"/>
      <c r="E569" s="9"/>
      <c r="F569" s="9"/>
      <c r="G569" s="9"/>
      <c r="H569" s="9"/>
      <c r="I569" s="9" t="s">
        <v>1458</v>
      </c>
      <c r="J569" s="9" t="s">
        <v>43</v>
      </c>
      <c r="K569" s="9" t="s">
        <v>225</v>
      </c>
      <c r="L569" s="9" t="s">
        <v>225</v>
      </c>
      <c r="M569" s="9" t="s">
        <v>226</v>
      </c>
      <c r="O569" s="22" t="s">
        <v>1458</v>
      </c>
      <c r="P569" s="23" t="s">
        <v>43</v>
      </c>
      <c r="Q569" s="23" t="s">
        <v>225</v>
      </c>
      <c r="R569" s="23" t="s">
        <v>225</v>
      </c>
      <c r="S569" s="24" t="s">
        <v>226</v>
      </c>
    </row>
    <row r="570" spans="1:19" ht="15.75" customHeight="1" x14ac:dyDescent="0.2">
      <c r="A570" s="9"/>
      <c r="B570" s="10"/>
      <c r="C570" s="9"/>
      <c r="D570" s="9"/>
      <c r="E570" s="9"/>
      <c r="F570" s="9"/>
      <c r="G570" s="9"/>
      <c r="H570" s="9"/>
      <c r="I570" s="9" t="s">
        <v>1459</v>
      </c>
      <c r="J570" s="9" t="s">
        <v>43</v>
      </c>
      <c r="K570" s="9" t="s">
        <v>225</v>
      </c>
      <c r="L570" s="9" t="s">
        <v>225</v>
      </c>
      <c r="M570" s="9" t="s">
        <v>226</v>
      </c>
      <c r="O570" s="22" t="s">
        <v>1459</v>
      </c>
      <c r="P570" s="23" t="s">
        <v>43</v>
      </c>
      <c r="Q570" s="23" t="s">
        <v>225</v>
      </c>
      <c r="R570" s="23" t="s">
        <v>225</v>
      </c>
      <c r="S570" s="24" t="s">
        <v>226</v>
      </c>
    </row>
    <row r="571" spans="1:19" ht="15.75" customHeight="1" x14ac:dyDescent="0.2">
      <c r="A571" s="9"/>
      <c r="B571" s="10"/>
      <c r="C571" s="9"/>
      <c r="D571" s="9"/>
      <c r="E571" s="9"/>
      <c r="F571" s="9"/>
      <c r="G571" s="9"/>
      <c r="H571" s="9"/>
      <c r="I571" s="9" t="s">
        <v>1460</v>
      </c>
      <c r="J571" s="9" t="s">
        <v>43</v>
      </c>
      <c r="K571" s="9" t="s">
        <v>225</v>
      </c>
      <c r="L571" s="9" t="s">
        <v>225</v>
      </c>
      <c r="M571" s="9" t="s">
        <v>226</v>
      </c>
      <c r="O571" s="22" t="s">
        <v>1460</v>
      </c>
      <c r="P571" s="23" t="s">
        <v>43</v>
      </c>
      <c r="Q571" s="23" t="s">
        <v>225</v>
      </c>
      <c r="R571" s="23" t="s">
        <v>225</v>
      </c>
      <c r="S571" s="24" t="s">
        <v>226</v>
      </c>
    </row>
    <row r="572" spans="1:19" ht="15.75" customHeight="1" x14ac:dyDescent="0.2">
      <c r="A572" s="9"/>
      <c r="B572" s="10"/>
      <c r="C572" s="9"/>
      <c r="D572" s="9"/>
      <c r="E572" s="9"/>
      <c r="F572" s="9"/>
      <c r="G572" s="9"/>
      <c r="H572" s="9"/>
      <c r="I572" s="9" t="s">
        <v>1461</v>
      </c>
      <c r="J572" s="9" t="s">
        <v>43</v>
      </c>
      <c r="K572" s="9" t="s">
        <v>225</v>
      </c>
      <c r="L572" s="9" t="s">
        <v>225</v>
      </c>
      <c r="M572" s="9" t="s">
        <v>226</v>
      </c>
      <c r="O572" s="22" t="s">
        <v>1461</v>
      </c>
      <c r="P572" s="23" t="s">
        <v>43</v>
      </c>
      <c r="Q572" s="23" t="s">
        <v>225</v>
      </c>
      <c r="R572" s="23" t="s">
        <v>225</v>
      </c>
      <c r="S572" s="24" t="s">
        <v>226</v>
      </c>
    </row>
    <row r="573" spans="1:19" ht="15.75" customHeight="1" x14ac:dyDescent="0.2">
      <c r="A573" s="9"/>
      <c r="B573" s="10"/>
      <c r="C573" s="9"/>
      <c r="D573" s="9"/>
      <c r="E573" s="9"/>
      <c r="F573" s="9"/>
      <c r="G573" s="9"/>
      <c r="H573" s="9"/>
      <c r="I573" s="9" t="s">
        <v>1462</v>
      </c>
      <c r="J573" s="9" t="s">
        <v>43</v>
      </c>
      <c r="K573" s="9" t="s">
        <v>226</v>
      </c>
      <c r="L573" s="9" t="s">
        <v>225</v>
      </c>
      <c r="M573" s="9" t="s">
        <v>226</v>
      </c>
      <c r="O573" s="22" t="s">
        <v>1462</v>
      </c>
      <c r="P573" s="23" t="s">
        <v>43</v>
      </c>
      <c r="Q573" s="23" t="s">
        <v>226</v>
      </c>
      <c r="R573" s="23" t="s">
        <v>225</v>
      </c>
      <c r="S573" s="24" t="s">
        <v>226</v>
      </c>
    </row>
    <row r="574" spans="1:19" ht="15.75" customHeight="1" x14ac:dyDescent="0.2">
      <c r="A574" s="9"/>
      <c r="B574" s="10"/>
      <c r="C574" s="9"/>
      <c r="D574" s="9"/>
      <c r="E574" s="9"/>
      <c r="F574" s="9"/>
      <c r="G574" s="9"/>
      <c r="H574" s="9"/>
      <c r="I574" s="9" t="s">
        <v>1463</v>
      </c>
      <c r="J574" s="9" t="s">
        <v>43</v>
      </c>
      <c r="K574" s="9" t="s">
        <v>225</v>
      </c>
      <c r="L574" s="9" t="s">
        <v>225</v>
      </c>
      <c r="M574" s="9" t="s">
        <v>225</v>
      </c>
      <c r="O574" s="22" t="s">
        <v>1463</v>
      </c>
      <c r="P574" s="23" t="s">
        <v>43</v>
      </c>
      <c r="Q574" s="23" t="s">
        <v>225</v>
      </c>
      <c r="R574" s="23" t="s">
        <v>225</v>
      </c>
      <c r="S574" s="24" t="s">
        <v>225</v>
      </c>
    </row>
    <row r="575" spans="1:19" ht="15.75" customHeight="1" x14ac:dyDescent="0.2">
      <c r="A575" s="9"/>
      <c r="B575" s="10"/>
      <c r="C575" s="9"/>
      <c r="D575" s="9"/>
      <c r="E575" s="9"/>
      <c r="F575" s="9"/>
      <c r="G575" s="9"/>
      <c r="H575" s="9"/>
      <c r="I575" s="9" t="s">
        <v>1464</v>
      </c>
      <c r="J575" s="9" t="s">
        <v>43</v>
      </c>
      <c r="K575" s="9" t="s">
        <v>225</v>
      </c>
      <c r="L575" s="9" t="s">
        <v>225</v>
      </c>
      <c r="M575" s="9" t="s">
        <v>226</v>
      </c>
      <c r="O575" s="22" t="s">
        <v>1464</v>
      </c>
      <c r="P575" s="23" t="s">
        <v>43</v>
      </c>
      <c r="Q575" s="23" t="s">
        <v>225</v>
      </c>
      <c r="R575" s="23" t="s">
        <v>225</v>
      </c>
      <c r="S575" s="24" t="s">
        <v>226</v>
      </c>
    </row>
    <row r="576" spans="1:19" ht="15.75" customHeight="1" x14ac:dyDescent="0.2">
      <c r="A576" s="9"/>
      <c r="B576" s="10"/>
      <c r="C576" s="9"/>
      <c r="D576" s="9"/>
      <c r="E576" s="9"/>
      <c r="F576" s="9"/>
      <c r="G576" s="9"/>
      <c r="H576" s="9"/>
      <c r="I576" s="9" t="s">
        <v>1465</v>
      </c>
      <c r="J576" s="9" t="s">
        <v>43</v>
      </c>
      <c r="K576" s="9" t="s">
        <v>226</v>
      </c>
      <c r="L576" s="9" t="s">
        <v>225</v>
      </c>
      <c r="M576" s="9" t="s">
        <v>226</v>
      </c>
      <c r="O576" s="22" t="s">
        <v>1465</v>
      </c>
      <c r="P576" s="23" t="s">
        <v>43</v>
      </c>
      <c r="Q576" s="23" t="s">
        <v>226</v>
      </c>
      <c r="R576" s="23" t="s">
        <v>225</v>
      </c>
      <c r="S576" s="24" t="s">
        <v>226</v>
      </c>
    </row>
    <row r="577" spans="1:19" ht="15.75" customHeight="1" x14ac:dyDescent="0.2">
      <c r="A577" s="9"/>
      <c r="B577" s="10"/>
      <c r="C577" s="9"/>
      <c r="D577" s="9"/>
      <c r="E577" s="9"/>
      <c r="F577" s="9"/>
      <c r="G577" s="9"/>
      <c r="H577" s="9"/>
      <c r="I577" s="9" t="s">
        <v>1466</v>
      </c>
      <c r="J577" s="9" t="s">
        <v>43</v>
      </c>
      <c r="K577" s="9" t="s">
        <v>226</v>
      </c>
      <c r="L577" s="9" t="s">
        <v>225</v>
      </c>
      <c r="M577" s="9" t="s">
        <v>226</v>
      </c>
      <c r="O577" s="22" t="s">
        <v>1466</v>
      </c>
      <c r="P577" s="23" t="s">
        <v>43</v>
      </c>
      <c r="Q577" s="23" t="s">
        <v>226</v>
      </c>
      <c r="R577" s="23" t="s">
        <v>225</v>
      </c>
      <c r="S577" s="24" t="s">
        <v>226</v>
      </c>
    </row>
    <row r="578" spans="1:19" ht="15.75" customHeight="1" x14ac:dyDescent="0.2">
      <c r="A578" s="9"/>
      <c r="B578" s="10"/>
      <c r="C578" s="9"/>
      <c r="D578" s="9"/>
      <c r="E578" s="9"/>
      <c r="F578" s="9"/>
      <c r="G578" s="9"/>
      <c r="H578" s="9"/>
      <c r="I578" s="9" t="s">
        <v>1467</v>
      </c>
      <c r="J578" s="9" t="s">
        <v>43</v>
      </c>
      <c r="K578" s="9" t="s">
        <v>225</v>
      </c>
      <c r="L578" s="9" t="s">
        <v>225</v>
      </c>
      <c r="M578" s="9" t="s">
        <v>226</v>
      </c>
      <c r="O578" s="22" t="s">
        <v>1467</v>
      </c>
      <c r="P578" s="23" t="s">
        <v>43</v>
      </c>
      <c r="Q578" s="23" t="s">
        <v>225</v>
      </c>
      <c r="R578" s="23" t="s">
        <v>225</v>
      </c>
      <c r="S578" s="24" t="s">
        <v>226</v>
      </c>
    </row>
    <row r="579" spans="1:19" ht="15.75" customHeight="1" x14ac:dyDescent="0.2">
      <c r="A579" s="9"/>
      <c r="B579" s="10"/>
      <c r="C579" s="9"/>
      <c r="D579" s="9"/>
      <c r="E579" s="9"/>
      <c r="F579" s="9"/>
      <c r="G579" s="9"/>
      <c r="H579" s="9"/>
      <c r="I579" s="9" t="s">
        <v>1468</v>
      </c>
      <c r="J579" s="9" t="s">
        <v>43</v>
      </c>
      <c r="K579" s="9" t="s">
        <v>225</v>
      </c>
      <c r="L579" s="9" t="s">
        <v>226</v>
      </c>
      <c r="M579" s="9" t="s">
        <v>225</v>
      </c>
      <c r="O579" s="22" t="s">
        <v>1468</v>
      </c>
      <c r="P579" s="23" t="s">
        <v>43</v>
      </c>
      <c r="Q579" s="23" t="s">
        <v>225</v>
      </c>
      <c r="R579" s="23" t="s">
        <v>226</v>
      </c>
      <c r="S579" s="24" t="s">
        <v>225</v>
      </c>
    </row>
    <row r="580" spans="1:19" ht="15.75" customHeight="1" x14ac:dyDescent="0.2">
      <c r="A580" s="9"/>
      <c r="B580" s="10"/>
      <c r="C580" s="9"/>
      <c r="D580" s="9"/>
      <c r="E580" s="9"/>
      <c r="F580" s="9"/>
      <c r="G580" s="9"/>
      <c r="H580" s="9"/>
      <c r="I580" s="9" t="s">
        <v>1469</v>
      </c>
      <c r="J580" s="9" t="s">
        <v>43</v>
      </c>
      <c r="K580" s="9" t="s">
        <v>225</v>
      </c>
      <c r="L580" s="9" t="s">
        <v>225</v>
      </c>
      <c r="M580" s="9" t="s">
        <v>225</v>
      </c>
      <c r="O580" s="22" t="s">
        <v>1469</v>
      </c>
      <c r="P580" s="23" t="s">
        <v>43</v>
      </c>
      <c r="Q580" s="23" t="s">
        <v>225</v>
      </c>
      <c r="R580" s="23" t="s">
        <v>225</v>
      </c>
      <c r="S580" s="24" t="s">
        <v>225</v>
      </c>
    </row>
    <row r="581" spans="1:19" ht="15.75" customHeight="1" x14ac:dyDescent="0.2">
      <c r="A581" s="9"/>
      <c r="B581" s="10"/>
      <c r="C581" s="9"/>
      <c r="D581" s="9"/>
      <c r="E581" s="9"/>
      <c r="F581" s="9"/>
      <c r="G581" s="9"/>
      <c r="H581" s="9"/>
      <c r="I581" s="9" t="s">
        <v>1470</v>
      </c>
      <c r="J581" s="9" t="s">
        <v>43</v>
      </c>
      <c r="K581" s="9" t="s">
        <v>226</v>
      </c>
      <c r="L581" s="9" t="s">
        <v>225</v>
      </c>
      <c r="M581" s="9" t="s">
        <v>225</v>
      </c>
      <c r="O581" s="22" t="s">
        <v>1470</v>
      </c>
      <c r="P581" s="23" t="s">
        <v>43</v>
      </c>
      <c r="Q581" s="23" t="s">
        <v>226</v>
      </c>
      <c r="R581" s="23" t="s">
        <v>225</v>
      </c>
      <c r="S581" s="24" t="s">
        <v>225</v>
      </c>
    </row>
    <row r="582" spans="1:19" ht="15.75" customHeight="1" x14ac:dyDescent="0.2">
      <c r="A582" s="9"/>
      <c r="B582" s="10"/>
      <c r="C582" s="9"/>
      <c r="D582" s="9"/>
      <c r="E582" s="9"/>
      <c r="F582" s="9"/>
      <c r="G582" s="9"/>
      <c r="H582" s="9"/>
      <c r="I582" s="9" t="s">
        <v>1471</v>
      </c>
      <c r="J582" s="9" t="s">
        <v>43</v>
      </c>
      <c r="K582" s="9" t="s">
        <v>225</v>
      </c>
      <c r="L582" s="9" t="s">
        <v>225</v>
      </c>
      <c r="M582" s="9" t="s">
        <v>225</v>
      </c>
      <c r="O582" s="22" t="s">
        <v>1471</v>
      </c>
      <c r="P582" s="23" t="s">
        <v>43</v>
      </c>
      <c r="Q582" s="23" t="s">
        <v>225</v>
      </c>
      <c r="R582" s="23" t="s">
        <v>225</v>
      </c>
      <c r="S582" s="24" t="s">
        <v>225</v>
      </c>
    </row>
    <row r="583" spans="1:19" ht="15.75" customHeight="1" x14ac:dyDescent="0.2">
      <c r="A583" s="9"/>
      <c r="B583" s="10"/>
      <c r="C583" s="9"/>
      <c r="D583" s="9"/>
      <c r="E583" s="9"/>
      <c r="F583" s="9"/>
      <c r="G583" s="9"/>
      <c r="H583" s="9"/>
      <c r="I583" s="9" t="s">
        <v>1472</v>
      </c>
      <c r="J583" s="9" t="s">
        <v>43</v>
      </c>
      <c r="K583" s="9" t="s">
        <v>226</v>
      </c>
      <c r="L583" s="9" t="s">
        <v>225</v>
      </c>
      <c r="M583" s="9" t="s">
        <v>225</v>
      </c>
      <c r="O583" s="22" t="s">
        <v>1472</v>
      </c>
      <c r="P583" s="23" t="s">
        <v>43</v>
      </c>
      <c r="Q583" s="23" t="s">
        <v>226</v>
      </c>
      <c r="R583" s="23" t="s">
        <v>225</v>
      </c>
      <c r="S583" s="24" t="s">
        <v>225</v>
      </c>
    </row>
    <row r="584" spans="1:19" ht="15.75" customHeight="1" x14ac:dyDescent="0.2">
      <c r="A584" s="9"/>
      <c r="B584" s="10"/>
      <c r="C584" s="9"/>
      <c r="D584" s="9"/>
      <c r="E584" s="9"/>
      <c r="F584" s="9"/>
      <c r="G584" s="9"/>
      <c r="H584" s="9"/>
      <c r="I584" s="9" t="s">
        <v>1473</v>
      </c>
      <c r="J584" s="9" t="s">
        <v>43</v>
      </c>
      <c r="K584" s="9" t="s">
        <v>226</v>
      </c>
      <c r="L584" s="9" t="s">
        <v>225</v>
      </c>
      <c r="M584" s="9" t="s">
        <v>225</v>
      </c>
      <c r="O584" s="22" t="s">
        <v>1473</v>
      </c>
      <c r="P584" s="23" t="s">
        <v>43</v>
      </c>
      <c r="Q584" s="23" t="s">
        <v>226</v>
      </c>
      <c r="R584" s="23" t="s">
        <v>225</v>
      </c>
      <c r="S584" s="24" t="s">
        <v>225</v>
      </c>
    </row>
    <row r="585" spans="1:19" ht="15.75" customHeight="1" x14ac:dyDescent="0.2">
      <c r="A585" s="9"/>
      <c r="B585" s="10"/>
      <c r="C585" s="9"/>
      <c r="D585" s="9"/>
      <c r="E585" s="9"/>
      <c r="F585" s="9"/>
      <c r="G585" s="9"/>
      <c r="H585" s="9"/>
      <c r="I585" s="9" t="s">
        <v>1474</v>
      </c>
      <c r="J585" s="9" t="s">
        <v>43</v>
      </c>
      <c r="K585" s="9" t="s">
        <v>226</v>
      </c>
      <c r="L585" s="9" t="s">
        <v>225</v>
      </c>
      <c r="M585" s="9" t="s">
        <v>225</v>
      </c>
      <c r="O585" s="22" t="s">
        <v>1474</v>
      </c>
      <c r="P585" s="23" t="s">
        <v>43</v>
      </c>
      <c r="Q585" s="23" t="s">
        <v>226</v>
      </c>
      <c r="R585" s="23" t="s">
        <v>225</v>
      </c>
      <c r="S585" s="24" t="s">
        <v>225</v>
      </c>
    </row>
    <row r="586" spans="1:19" ht="15.75" customHeight="1" x14ac:dyDescent="0.2">
      <c r="A586" s="9"/>
      <c r="B586" s="10"/>
      <c r="C586" s="9"/>
      <c r="D586" s="9"/>
      <c r="E586" s="9"/>
      <c r="F586" s="9"/>
      <c r="G586" s="9"/>
      <c r="H586" s="9"/>
      <c r="I586" s="9" t="s">
        <v>1475</v>
      </c>
      <c r="J586" s="9" t="s">
        <v>43</v>
      </c>
      <c r="K586" s="9" t="s">
        <v>225</v>
      </c>
      <c r="L586" s="9" t="s">
        <v>225</v>
      </c>
      <c r="M586" s="9" t="s">
        <v>225</v>
      </c>
      <c r="O586" s="22" t="s">
        <v>1475</v>
      </c>
      <c r="P586" s="23" t="s">
        <v>43</v>
      </c>
      <c r="Q586" s="23" t="s">
        <v>225</v>
      </c>
      <c r="R586" s="23" t="s">
        <v>225</v>
      </c>
      <c r="S586" s="24" t="s">
        <v>225</v>
      </c>
    </row>
    <row r="587" spans="1:19" ht="15.75" customHeight="1" x14ac:dyDescent="0.2">
      <c r="A587" s="9"/>
      <c r="B587" s="10"/>
      <c r="C587" s="9"/>
      <c r="D587" s="9"/>
      <c r="E587" s="9"/>
      <c r="F587" s="9"/>
      <c r="G587" s="9"/>
      <c r="H587" s="9"/>
      <c r="I587" s="9" t="s">
        <v>1476</v>
      </c>
      <c r="J587" s="9" t="s">
        <v>43</v>
      </c>
      <c r="K587" s="9" t="s">
        <v>225</v>
      </c>
      <c r="L587" s="9" t="s">
        <v>225</v>
      </c>
      <c r="M587" s="9" t="s">
        <v>225</v>
      </c>
      <c r="O587" s="22" t="s">
        <v>1476</v>
      </c>
      <c r="P587" s="23" t="s">
        <v>43</v>
      </c>
      <c r="Q587" s="23" t="s">
        <v>225</v>
      </c>
      <c r="R587" s="23" t="s">
        <v>225</v>
      </c>
      <c r="S587" s="24" t="s">
        <v>225</v>
      </c>
    </row>
    <row r="588" spans="1:19" ht="15.75" customHeight="1" x14ac:dyDescent="0.2">
      <c r="A588" s="9"/>
      <c r="B588" s="10"/>
      <c r="C588" s="9"/>
      <c r="D588" s="9"/>
      <c r="E588" s="9"/>
      <c r="F588" s="9"/>
      <c r="G588" s="9"/>
      <c r="H588" s="9"/>
      <c r="I588" s="9" t="s">
        <v>1477</v>
      </c>
      <c r="J588" s="9" t="s">
        <v>43</v>
      </c>
      <c r="K588" s="9" t="s">
        <v>225</v>
      </c>
      <c r="L588" s="9" t="s">
        <v>225</v>
      </c>
      <c r="M588" s="9" t="s">
        <v>226</v>
      </c>
      <c r="O588" s="22" t="s">
        <v>1477</v>
      </c>
      <c r="P588" s="23" t="s">
        <v>43</v>
      </c>
      <c r="Q588" s="23" t="s">
        <v>225</v>
      </c>
      <c r="R588" s="23" t="s">
        <v>225</v>
      </c>
      <c r="S588" s="24" t="s">
        <v>226</v>
      </c>
    </row>
    <row r="589" spans="1:19" ht="15.75" customHeight="1" x14ac:dyDescent="0.2">
      <c r="A589" s="9"/>
      <c r="B589" s="10"/>
      <c r="C589" s="9"/>
      <c r="D589" s="9"/>
      <c r="E589" s="9"/>
      <c r="F589" s="9"/>
      <c r="G589" s="9"/>
      <c r="H589" s="9"/>
      <c r="I589" s="9" t="s">
        <v>1478</v>
      </c>
      <c r="J589" s="9" t="s">
        <v>43</v>
      </c>
      <c r="K589" s="9" t="s">
        <v>225</v>
      </c>
      <c r="L589" s="9" t="s">
        <v>225</v>
      </c>
      <c r="M589" s="9" t="s">
        <v>226</v>
      </c>
      <c r="O589" s="22" t="s">
        <v>1478</v>
      </c>
      <c r="P589" s="23" t="s">
        <v>43</v>
      </c>
      <c r="Q589" s="23" t="s">
        <v>225</v>
      </c>
      <c r="R589" s="23" t="s">
        <v>225</v>
      </c>
      <c r="S589" s="24" t="s">
        <v>226</v>
      </c>
    </row>
    <row r="590" spans="1:19" ht="15.75" customHeight="1" x14ac:dyDescent="0.2">
      <c r="A590" s="9"/>
      <c r="B590" s="10"/>
      <c r="C590" s="9"/>
      <c r="D590" s="9"/>
      <c r="E590" s="9"/>
      <c r="F590" s="9"/>
      <c r="G590" s="9"/>
      <c r="H590" s="9"/>
      <c r="I590" s="9" t="s">
        <v>1479</v>
      </c>
      <c r="J590" s="9" t="s">
        <v>43</v>
      </c>
      <c r="K590" s="9" t="s">
        <v>226</v>
      </c>
      <c r="L590" s="9" t="s">
        <v>225</v>
      </c>
      <c r="M590" s="9" t="s">
        <v>226</v>
      </c>
      <c r="O590" s="22" t="s">
        <v>1479</v>
      </c>
      <c r="P590" s="23" t="s">
        <v>43</v>
      </c>
      <c r="Q590" s="23" t="s">
        <v>226</v>
      </c>
      <c r="R590" s="23" t="s">
        <v>225</v>
      </c>
      <c r="S590" s="24" t="s">
        <v>226</v>
      </c>
    </row>
    <row r="591" spans="1:19" ht="15.75" customHeight="1" x14ac:dyDescent="0.2">
      <c r="A591" s="9"/>
      <c r="B591" s="10"/>
      <c r="C591" s="9"/>
      <c r="D591" s="9"/>
      <c r="E591" s="9"/>
      <c r="F591" s="9"/>
      <c r="G591" s="9"/>
      <c r="H591" s="9"/>
      <c r="I591" s="9" t="s">
        <v>1480</v>
      </c>
      <c r="J591" s="9" t="s">
        <v>43</v>
      </c>
      <c r="K591" s="9" t="s">
        <v>226</v>
      </c>
      <c r="L591" s="9" t="s">
        <v>225</v>
      </c>
      <c r="M591" s="9" t="s">
        <v>226</v>
      </c>
      <c r="O591" s="22" t="s">
        <v>1480</v>
      </c>
      <c r="P591" s="23" t="s">
        <v>43</v>
      </c>
      <c r="Q591" s="23" t="s">
        <v>226</v>
      </c>
      <c r="R591" s="23" t="s">
        <v>225</v>
      </c>
      <c r="S591" s="24" t="s">
        <v>226</v>
      </c>
    </row>
    <row r="592" spans="1:19" ht="15.75" customHeight="1" x14ac:dyDescent="0.2">
      <c r="A592" s="9"/>
      <c r="B592" s="10"/>
      <c r="C592" s="9"/>
      <c r="D592" s="9"/>
      <c r="E592" s="9"/>
      <c r="F592" s="9"/>
      <c r="G592" s="9"/>
      <c r="H592" s="9"/>
      <c r="I592" s="9" t="s">
        <v>1481</v>
      </c>
      <c r="J592" s="9" t="s">
        <v>43</v>
      </c>
      <c r="K592" s="9" t="s">
        <v>225</v>
      </c>
      <c r="L592" s="9" t="s">
        <v>225</v>
      </c>
      <c r="M592" s="9" t="s">
        <v>226</v>
      </c>
      <c r="O592" s="22" t="s">
        <v>1481</v>
      </c>
      <c r="P592" s="23" t="s">
        <v>43</v>
      </c>
      <c r="Q592" s="23" t="s">
        <v>225</v>
      </c>
      <c r="R592" s="23" t="s">
        <v>225</v>
      </c>
      <c r="S592" s="24" t="s">
        <v>226</v>
      </c>
    </row>
    <row r="593" spans="1:19" ht="15.75" customHeight="1" x14ac:dyDescent="0.2">
      <c r="A593" s="9"/>
      <c r="B593" s="10"/>
      <c r="C593" s="9"/>
      <c r="D593" s="9"/>
      <c r="E593" s="9"/>
      <c r="F593" s="9"/>
      <c r="G593" s="9"/>
      <c r="H593" s="9"/>
      <c r="I593" s="9" t="s">
        <v>1482</v>
      </c>
      <c r="J593" s="9" t="s">
        <v>43</v>
      </c>
      <c r="K593" s="9" t="s">
        <v>226</v>
      </c>
      <c r="L593" s="9" t="s">
        <v>225</v>
      </c>
      <c r="M593" s="9" t="s">
        <v>226</v>
      </c>
      <c r="O593" s="22" t="s">
        <v>1482</v>
      </c>
      <c r="P593" s="23" t="s">
        <v>43</v>
      </c>
      <c r="Q593" s="23" t="s">
        <v>226</v>
      </c>
      <c r="R593" s="23" t="s">
        <v>225</v>
      </c>
      <c r="S593" s="24" t="s">
        <v>226</v>
      </c>
    </row>
    <row r="594" spans="1:19" ht="15.75" customHeight="1" x14ac:dyDescent="0.2">
      <c r="A594" s="9"/>
      <c r="B594" s="10"/>
      <c r="C594" s="9"/>
      <c r="D594" s="9"/>
      <c r="E594" s="9"/>
      <c r="F594" s="9"/>
      <c r="G594" s="9"/>
      <c r="H594" s="9"/>
      <c r="I594" s="9" t="s">
        <v>1483</v>
      </c>
      <c r="J594" s="9" t="s">
        <v>43</v>
      </c>
      <c r="K594" s="9" t="s">
        <v>226</v>
      </c>
      <c r="L594" s="9" t="s">
        <v>225</v>
      </c>
      <c r="M594" s="9" t="s">
        <v>226</v>
      </c>
      <c r="O594" s="22" t="s">
        <v>1483</v>
      </c>
      <c r="P594" s="23" t="s">
        <v>43</v>
      </c>
      <c r="Q594" s="23" t="s">
        <v>226</v>
      </c>
      <c r="R594" s="23" t="s">
        <v>225</v>
      </c>
      <c r="S594" s="24" t="s">
        <v>226</v>
      </c>
    </row>
    <row r="595" spans="1:19" ht="15.75" customHeight="1" x14ac:dyDescent="0.2">
      <c r="A595" s="9"/>
      <c r="B595" s="10"/>
      <c r="C595" s="9"/>
      <c r="D595" s="9"/>
      <c r="E595" s="9"/>
      <c r="F595" s="9"/>
      <c r="G595" s="9"/>
      <c r="H595" s="9"/>
      <c r="I595" s="9" t="s">
        <v>1484</v>
      </c>
      <c r="J595" s="9" t="s">
        <v>43</v>
      </c>
      <c r="K595" s="9" t="s">
        <v>226</v>
      </c>
      <c r="L595" s="9" t="s">
        <v>225</v>
      </c>
      <c r="M595" s="9" t="s">
        <v>226</v>
      </c>
      <c r="O595" s="22" t="s">
        <v>1484</v>
      </c>
      <c r="P595" s="23" t="s">
        <v>43</v>
      </c>
      <c r="Q595" s="23" t="s">
        <v>226</v>
      </c>
      <c r="R595" s="23" t="s">
        <v>225</v>
      </c>
      <c r="S595" s="24" t="s">
        <v>226</v>
      </c>
    </row>
    <row r="596" spans="1:19" ht="15.75" customHeight="1" x14ac:dyDescent="0.2">
      <c r="A596" s="9"/>
      <c r="B596" s="10"/>
      <c r="C596" s="9"/>
      <c r="D596" s="9"/>
      <c r="E596" s="9"/>
      <c r="F596" s="9"/>
      <c r="G596" s="9"/>
      <c r="H596" s="9"/>
      <c r="I596" s="9" t="s">
        <v>1485</v>
      </c>
      <c r="J596" s="9" t="s">
        <v>43</v>
      </c>
      <c r="K596" s="9" t="s">
        <v>225</v>
      </c>
      <c r="L596" s="9" t="s">
        <v>225</v>
      </c>
      <c r="M596" s="9" t="s">
        <v>226</v>
      </c>
      <c r="O596" s="22" t="s">
        <v>1485</v>
      </c>
      <c r="P596" s="23" t="s">
        <v>43</v>
      </c>
      <c r="Q596" s="23" t="s">
        <v>225</v>
      </c>
      <c r="R596" s="23" t="s">
        <v>225</v>
      </c>
      <c r="S596" s="24" t="s">
        <v>226</v>
      </c>
    </row>
    <row r="597" spans="1:19" ht="15.75" customHeight="1" x14ac:dyDescent="0.2">
      <c r="A597" s="9"/>
      <c r="B597" s="10"/>
      <c r="C597" s="9"/>
      <c r="D597" s="9"/>
      <c r="E597" s="9"/>
      <c r="F597" s="9"/>
      <c r="G597" s="9"/>
      <c r="H597" s="9"/>
      <c r="I597" s="9" t="s">
        <v>1486</v>
      </c>
      <c r="J597" s="9" t="s">
        <v>43</v>
      </c>
      <c r="K597" s="9" t="s">
        <v>225</v>
      </c>
      <c r="L597" s="9" t="s">
        <v>225</v>
      </c>
      <c r="M597" s="9" t="s">
        <v>226</v>
      </c>
      <c r="O597" s="22" t="s">
        <v>1486</v>
      </c>
      <c r="P597" s="23" t="s">
        <v>43</v>
      </c>
      <c r="Q597" s="23" t="s">
        <v>225</v>
      </c>
      <c r="R597" s="23" t="s">
        <v>225</v>
      </c>
      <c r="S597" s="24" t="s">
        <v>226</v>
      </c>
    </row>
    <row r="598" spans="1:19" ht="15.75" customHeight="1" x14ac:dyDescent="0.2">
      <c r="A598" s="9"/>
      <c r="B598" s="10"/>
      <c r="C598" s="9"/>
      <c r="D598" s="9"/>
      <c r="E598" s="9"/>
      <c r="F598" s="9"/>
      <c r="G598" s="9"/>
      <c r="H598" s="9"/>
      <c r="I598" s="9" t="s">
        <v>1487</v>
      </c>
      <c r="J598" s="9" t="s">
        <v>43</v>
      </c>
      <c r="K598" s="9" t="s">
        <v>225</v>
      </c>
      <c r="L598" s="9" t="s">
        <v>225</v>
      </c>
      <c r="M598" s="9" t="s">
        <v>226</v>
      </c>
      <c r="O598" s="22" t="s">
        <v>1487</v>
      </c>
      <c r="P598" s="23" t="s">
        <v>43</v>
      </c>
      <c r="Q598" s="23" t="s">
        <v>225</v>
      </c>
      <c r="R598" s="23" t="s">
        <v>225</v>
      </c>
      <c r="S598" s="24" t="s">
        <v>226</v>
      </c>
    </row>
    <row r="599" spans="1:19" ht="15.75" customHeight="1" x14ac:dyDescent="0.2">
      <c r="A599" s="9"/>
      <c r="B599" s="10"/>
      <c r="C599" s="9"/>
      <c r="D599" s="9"/>
      <c r="E599" s="9"/>
      <c r="F599" s="9"/>
      <c r="G599" s="9"/>
      <c r="H599" s="9"/>
      <c r="I599" s="9" t="s">
        <v>1488</v>
      </c>
      <c r="J599" s="9" t="s">
        <v>43</v>
      </c>
      <c r="K599" s="9" t="s">
        <v>225</v>
      </c>
      <c r="L599" s="9" t="s">
        <v>225</v>
      </c>
      <c r="M599" s="9" t="s">
        <v>226</v>
      </c>
      <c r="O599" s="22" t="s">
        <v>1488</v>
      </c>
      <c r="P599" s="23" t="s">
        <v>43</v>
      </c>
      <c r="Q599" s="23" t="s">
        <v>225</v>
      </c>
      <c r="R599" s="23" t="s">
        <v>225</v>
      </c>
      <c r="S599" s="24" t="s">
        <v>226</v>
      </c>
    </row>
    <row r="600" spans="1:19" ht="15.75" customHeight="1" x14ac:dyDescent="0.2">
      <c r="A600" s="9"/>
      <c r="B600" s="10"/>
      <c r="C600" s="9"/>
      <c r="D600" s="9"/>
      <c r="E600" s="9"/>
      <c r="F600" s="9"/>
      <c r="G600" s="9"/>
      <c r="H600" s="9"/>
      <c r="I600" s="9" t="s">
        <v>1489</v>
      </c>
      <c r="J600" s="9" t="s">
        <v>43</v>
      </c>
      <c r="K600" s="9" t="s">
        <v>225</v>
      </c>
      <c r="L600" s="9" t="s">
        <v>225</v>
      </c>
      <c r="M600" s="9" t="s">
        <v>226</v>
      </c>
      <c r="O600" s="22" t="s">
        <v>1489</v>
      </c>
      <c r="P600" s="23" t="s">
        <v>43</v>
      </c>
      <c r="Q600" s="23" t="s">
        <v>225</v>
      </c>
      <c r="R600" s="23" t="s">
        <v>225</v>
      </c>
      <c r="S600" s="24" t="s">
        <v>226</v>
      </c>
    </row>
    <row r="601" spans="1:19" ht="15.75" customHeight="1" x14ac:dyDescent="0.2">
      <c r="A601" s="9"/>
      <c r="B601" s="10"/>
      <c r="C601" s="9"/>
      <c r="D601" s="9"/>
      <c r="E601" s="9"/>
      <c r="F601" s="9"/>
      <c r="G601" s="9"/>
      <c r="H601" s="9"/>
      <c r="I601" s="9" t="s">
        <v>1490</v>
      </c>
      <c r="J601" s="9" t="s">
        <v>1056</v>
      </c>
      <c r="K601" s="9" t="s">
        <v>226</v>
      </c>
      <c r="L601" s="9" t="s">
        <v>225</v>
      </c>
      <c r="M601" s="9" t="s">
        <v>226</v>
      </c>
      <c r="O601" s="22" t="s">
        <v>1490</v>
      </c>
      <c r="P601" s="23" t="s">
        <v>1056</v>
      </c>
      <c r="Q601" s="23" t="s">
        <v>226</v>
      </c>
      <c r="R601" s="23" t="s">
        <v>225</v>
      </c>
      <c r="S601" s="24" t="s">
        <v>226</v>
      </c>
    </row>
    <row r="602" spans="1:19" ht="15.75" customHeight="1" x14ac:dyDescent="0.2">
      <c r="A602" s="9"/>
      <c r="B602" s="10"/>
      <c r="C602" s="9"/>
      <c r="D602" s="9"/>
      <c r="E602" s="9"/>
      <c r="F602" s="9"/>
      <c r="G602" s="9"/>
      <c r="H602" s="9"/>
      <c r="I602" s="9" t="s">
        <v>1491</v>
      </c>
      <c r="J602" s="9" t="s">
        <v>43</v>
      </c>
      <c r="K602" s="9" t="s">
        <v>225</v>
      </c>
      <c r="L602" s="9" t="s">
        <v>225</v>
      </c>
      <c r="M602" s="9" t="s">
        <v>226</v>
      </c>
      <c r="N602" s="9"/>
      <c r="O602" s="22" t="s">
        <v>1491</v>
      </c>
      <c r="P602" s="23" t="s">
        <v>43</v>
      </c>
      <c r="Q602" s="23" t="s">
        <v>225</v>
      </c>
      <c r="R602" s="23" t="s">
        <v>225</v>
      </c>
      <c r="S602" s="24" t="s">
        <v>226</v>
      </c>
    </row>
    <row r="603" spans="1:19" ht="15.75" customHeight="1" x14ac:dyDescent="0.2">
      <c r="A603" s="9"/>
      <c r="B603" s="10"/>
      <c r="C603" s="9"/>
      <c r="D603" s="9"/>
      <c r="E603" s="9"/>
      <c r="F603" s="9"/>
      <c r="G603" s="9"/>
      <c r="H603" s="9"/>
      <c r="I603" s="9" t="s">
        <v>1492</v>
      </c>
      <c r="J603" s="9" t="s">
        <v>1056</v>
      </c>
      <c r="K603" s="9" t="s">
        <v>226</v>
      </c>
      <c r="L603" s="9" t="s">
        <v>225</v>
      </c>
      <c r="M603" s="9" t="s">
        <v>226</v>
      </c>
      <c r="N603" s="9"/>
      <c r="O603" s="22" t="s">
        <v>1492</v>
      </c>
      <c r="P603" s="23" t="s">
        <v>1056</v>
      </c>
      <c r="Q603" s="23" t="s">
        <v>226</v>
      </c>
      <c r="R603" s="23" t="s">
        <v>225</v>
      </c>
      <c r="S603" s="24" t="s">
        <v>226</v>
      </c>
    </row>
    <row r="604" spans="1:19" ht="15.75" customHeight="1" x14ac:dyDescent="0.2">
      <c r="A604" s="9"/>
      <c r="B604" s="10"/>
      <c r="C604" s="9"/>
      <c r="D604" s="9"/>
      <c r="E604" s="9"/>
      <c r="F604" s="9"/>
      <c r="G604" s="9"/>
      <c r="H604" s="9"/>
      <c r="I604" s="9" t="s">
        <v>1493</v>
      </c>
      <c r="J604" s="9" t="s">
        <v>43</v>
      </c>
      <c r="K604" s="9" t="s">
        <v>225</v>
      </c>
      <c r="L604" s="9" t="s">
        <v>225</v>
      </c>
      <c r="M604" s="9" t="s">
        <v>226</v>
      </c>
      <c r="N604" s="9"/>
      <c r="O604" s="22" t="s">
        <v>1493</v>
      </c>
      <c r="P604" s="23" t="s">
        <v>43</v>
      </c>
      <c r="Q604" s="23" t="s">
        <v>225</v>
      </c>
      <c r="R604" s="23" t="s">
        <v>225</v>
      </c>
      <c r="S604" s="24" t="s">
        <v>226</v>
      </c>
    </row>
    <row r="605" spans="1:19" ht="15.75" customHeight="1" x14ac:dyDescent="0.2">
      <c r="A605" s="9"/>
      <c r="B605" s="10"/>
      <c r="C605" s="9"/>
      <c r="D605" s="9"/>
      <c r="E605" s="9"/>
      <c r="F605" s="9"/>
      <c r="G605" s="9"/>
      <c r="H605" s="9"/>
      <c r="I605" s="9" t="s">
        <v>1494</v>
      </c>
      <c r="J605" s="9" t="s">
        <v>1056</v>
      </c>
      <c r="K605" s="9" t="s">
        <v>226</v>
      </c>
      <c r="L605" s="9" t="s">
        <v>225</v>
      </c>
      <c r="M605" s="9" t="s">
        <v>226</v>
      </c>
      <c r="N605" s="9"/>
      <c r="O605" s="22" t="s">
        <v>1494</v>
      </c>
      <c r="P605" s="23" t="s">
        <v>1056</v>
      </c>
      <c r="Q605" s="23" t="s">
        <v>226</v>
      </c>
      <c r="R605" s="23" t="s">
        <v>225</v>
      </c>
      <c r="S605" s="24" t="s">
        <v>226</v>
      </c>
    </row>
    <row r="606" spans="1:19" ht="15.75" customHeight="1" x14ac:dyDescent="0.2">
      <c r="A606" s="9"/>
      <c r="B606" s="10"/>
      <c r="C606" s="9"/>
      <c r="D606" s="9"/>
      <c r="E606" s="9"/>
      <c r="F606" s="9"/>
      <c r="G606" s="9"/>
      <c r="H606" s="9"/>
      <c r="I606" s="9" t="s">
        <v>1495</v>
      </c>
      <c r="J606" s="9" t="s">
        <v>43</v>
      </c>
      <c r="K606" s="9" t="s">
        <v>225</v>
      </c>
      <c r="L606" s="9" t="s">
        <v>225</v>
      </c>
      <c r="M606" s="9" t="s">
        <v>226</v>
      </c>
      <c r="N606" s="9"/>
      <c r="O606" s="22" t="s">
        <v>1495</v>
      </c>
      <c r="P606" s="23" t="s">
        <v>43</v>
      </c>
      <c r="Q606" s="23" t="s">
        <v>225</v>
      </c>
      <c r="R606" s="23" t="s">
        <v>225</v>
      </c>
      <c r="S606" s="24" t="s">
        <v>226</v>
      </c>
    </row>
    <row r="607" spans="1:19" ht="15.75" customHeight="1" x14ac:dyDescent="0.2">
      <c r="A607" s="9"/>
      <c r="B607" s="10"/>
      <c r="C607" s="9"/>
      <c r="D607" s="9"/>
      <c r="E607" s="9"/>
      <c r="F607" s="9"/>
      <c r="G607" s="9"/>
      <c r="H607" s="9"/>
      <c r="I607" s="9" t="s">
        <v>1496</v>
      </c>
      <c r="J607" s="9" t="s">
        <v>43</v>
      </c>
      <c r="K607" s="9" t="s">
        <v>225</v>
      </c>
      <c r="L607" s="9" t="s">
        <v>225</v>
      </c>
      <c r="M607" s="9" t="s">
        <v>226</v>
      </c>
      <c r="N607" s="9"/>
      <c r="O607" s="22" t="s">
        <v>1496</v>
      </c>
      <c r="P607" s="23" t="s">
        <v>43</v>
      </c>
      <c r="Q607" s="23" t="s">
        <v>225</v>
      </c>
      <c r="R607" s="23" t="s">
        <v>225</v>
      </c>
      <c r="S607" s="24" t="s">
        <v>226</v>
      </c>
    </row>
    <row r="608" spans="1:19" ht="15.75" customHeight="1" x14ac:dyDescent="0.2">
      <c r="A608" s="9"/>
      <c r="B608" s="10"/>
      <c r="C608" s="9"/>
      <c r="D608" s="9"/>
      <c r="E608" s="9"/>
      <c r="F608" s="9"/>
      <c r="G608" s="9"/>
      <c r="H608" s="9"/>
      <c r="I608" s="9" t="s">
        <v>1497</v>
      </c>
      <c r="J608" s="9" t="s">
        <v>43</v>
      </c>
      <c r="K608" s="9" t="s">
        <v>225</v>
      </c>
      <c r="L608" s="9" t="s">
        <v>225</v>
      </c>
      <c r="M608" s="9" t="s">
        <v>226</v>
      </c>
      <c r="N608" s="9"/>
      <c r="O608" s="22" t="s">
        <v>1497</v>
      </c>
      <c r="P608" s="23" t="s">
        <v>43</v>
      </c>
      <c r="Q608" s="23" t="s">
        <v>225</v>
      </c>
      <c r="R608" s="23" t="s">
        <v>225</v>
      </c>
      <c r="S608" s="24" t="s">
        <v>226</v>
      </c>
    </row>
    <row r="609" spans="1:19" ht="15.75" customHeight="1" x14ac:dyDescent="0.2">
      <c r="A609" s="9"/>
      <c r="B609" s="10"/>
      <c r="C609" s="9"/>
      <c r="D609" s="9"/>
      <c r="E609" s="9"/>
      <c r="F609" s="9"/>
      <c r="G609" s="9"/>
      <c r="H609" s="9"/>
      <c r="I609" s="9" t="s">
        <v>1498</v>
      </c>
      <c r="J609" s="9" t="s">
        <v>43</v>
      </c>
      <c r="K609" s="9" t="s">
        <v>225</v>
      </c>
      <c r="L609" s="9" t="s">
        <v>225</v>
      </c>
      <c r="M609" s="9" t="s">
        <v>226</v>
      </c>
      <c r="N609" s="9"/>
      <c r="O609" s="22" t="s">
        <v>1498</v>
      </c>
      <c r="P609" s="23" t="s">
        <v>43</v>
      </c>
      <c r="Q609" s="23" t="s">
        <v>225</v>
      </c>
      <c r="R609" s="23" t="s">
        <v>225</v>
      </c>
      <c r="S609" s="24" t="s">
        <v>226</v>
      </c>
    </row>
    <row r="610" spans="1:19" ht="15.75" customHeight="1" x14ac:dyDescent="0.2">
      <c r="A610" s="9"/>
      <c r="B610" s="10"/>
      <c r="C610" s="9"/>
      <c r="D610" s="9"/>
      <c r="E610" s="9"/>
      <c r="F610" s="9"/>
      <c r="G610" s="9"/>
      <c r="H610" s="9"/>
      <c r="I610" s="9" t="s">
        <v>1499</v>
      </c>
      <c r="J610" s="9" t="s">
        <v>43</v>
      </c>
      <c r="K610" s="9" t="s">
        <v>225</v>
      </c>
      <c r="L610" s="9" t="s">
        <v>225</v>
      </c>
      <c r="M610" s="9" t="s">
        <v>226</v>
      </c>
      <c r="N610" s="9"/>
      <c r="O610" s="22" t="s">
        <v>1499</v>
      </c>
      <c r="P610" s="23" t="s">
        <v>43</v>
      </c>
      <c r="Q610" s="23" t="s">
        <v>225</v>
      </c>
      <c r="R610" s="23" t="s">
        <v>225</v>
      </c>
      <c r="S610" s="24" t="s">
        <v>226</v>
      </c>
    </row>
    <row r="611" spans="1:19" ht="15.75" customHeight="1" x14ac:dyDescent="0.2">
      <c r="A611" s="9"/>
      <c r="B611" s="10"/>
      <c r="C611" s="9"/>
      <c r="D611" s="9"/>
      <c r="E611" s="9"/>
      <c r="F611" s="9"/>
      <c r="G611" s="9"/>
      <c r="H611" s="9"/>
      <c r="I611" s="9" t="s">
        <v>1500</v>
      </c>
      <c r="J611" s="9" t="s">
        <v>43</v>
      </c>
      <c r="K611" s="9" t="s">
        <v>225</v>
      </c>
      <c r="L611" s="9" t="s">
        <v>225</v>
      </c>
      <c r="M611" s="9" t="s">
        <v>226</v>
      </c>
      <c r="N611" s="9"/>
      <c r="O611" s="22" t="s">
        <v>1500</v>
      </c>
      <c r="P611" s="23" t="s">
        <v>43</v>
      </c>
      <c r="Q611" s="23" t="s">
        <v>225</v>
      </c>
      <c r="R611" s="23" t="s">
        <v>225</v>
      </c>
      <c r="S611" s="24" t="s">
        <v>226</v>
      </c>
    </row>
    <row r="612" spans="1:19" ht="15.75" customHeight="1" x14ac:dyDescent="0.2">
      <c r="A612" s="9"/>
      <c r="B612" s="10"/>
      <c r="C612" s="9"/>
      <c r="D612" s="9"/>
      <c r="E612" s="9"/>
      <c r="F612" s="9"/>
      <c r="G612" s="9"/>
      <c r="H612" s="9"/>
      <c r="I612" s="9" t="s">
        <v>1501</v>
      </c>
      <c r="J612" s="9" t="s">
        <v>43</v>
      </c>
      <c r="K612" s="9" t="s">
        <v>226</v>
      </c>
      <c r="L612" s="9" t="s">
        <v>225</v>
      </c>
      <c r="M612" s="9" t="s">
        <v>226</v>
      </c>
      <c r="N612" s="9"/>
      <c r="O612" s="22" t="s">
        <v>1501</v>
      </c>
      <c r="P612" s="23" t="s">
        <v>43</v>
      </c>
      <c r="Q612" s="23" t="s">
        <v>226</v>
      </c>
      <c r="R612" s="23" t="s">
        <v>225</v>
      </c>
      <c r="S612" s="24" t="s">
        <v>226</v>
      </c>
    </row>
    <row r="613" spans="1:19" ht="15.75" customHeight="1" x14ac:dyDescent="0.2">
      <c r="A613" s="9"/>
      <c r="B613" s="10"/>
      <c r="C613" s="9"/>
      <c r="D613" s="9"/>
      <c r="E613" s="9"/>
      <c r="F613" s="9"/>
      <c r="G613" s="9"/>
      <c r="H613" s="9"/>
      <c r="I613" s="9" t="s">
        <v>1502</v>
      </c>
      <c r="J613" s="9" t="s">
        <v>43</v>
      </c>
      <c r="K613" s="9" t="s">
        <v>226</v>
      </c>
      <c r="L613" s="9" t="s">
        <v>225</v>
      </c>
      <c r="M613" s="9" t="s">
        <v>226</v>
      </c>
      <c r="N613" s="9"/>
      <c r="O613" s="22" t="s">
        <v>1502</v>
      </c>
      <c r="P613" s="23" t="s">
        <v>43</v>
      </c>
      <c r="Q613" s="23" t="s">
        <v>226</v>
      </c>
      <c r="R613" s="23" t="s">
        <v>225</v>
      </c>
      <c r="S613" s="24" t="s">
        <v>226</v>
      </c>
    </row>
    <row r="614" spans="1:19" ht="15.75" customHeight="1" x14ac:dyDescent="0.2">
      <c r="A614" s="9"/>
      <c r="B614" s="10"/>
      <c r="C614" s="9"/>
      <c r="D614" s="9"/>
      <c r="E614" s="9"/>
      <c r="F614" s="9"/>
      <c r="G614" s="9"/>
      <c r="H614" s="9"/>
      <c r="I614" s="9" t="s">
        <v>1503</v>
      </c>
      <c r="J614" s="9" t="s">
        <v>43</v>
      </c>
      <c r="K614" s="9" t="s">
        <v>225</v>
      </c>
      <c r="L614" s="9" t="s">
        <v>225</v>
      </c>
      <c r="M614" s="9" t="s">
        <v>226</v>
      </c>
      <c r="N614" s="9"/>
      <c r="O614" s="22" t="s">
        <v>1503</v>
      </c>
      <c r="P614" s="23" t="s">
        <v>43</v>
      </c>
      <c r="Q614" s="23" t="s">
        <v>225</v>
      </c>
      <c r="R614" s="23" t="s">
        <v>225</v>
      </c>
      <c r="S614" s="24" t="s">
        <v>226</v>
      </c>
    </row>
    <row r="615" spans="1:19" ht="15.75" customHeight="1" x14ac:dyDescent="0.2">
      <c r="A615" s="9"/>
      <c r="B615" s="10"/>
      <c r="C615" s="9"/>
      <c r="D615" s="9"/>
      <c r="E615" s="9"/>
      <c r="F615" s="9"/>
      <c r="G615" s="9"/>
      <c r="H615" s="9"/>
      <c r="I615" s="9" t="s">
        <v>1504</v>
      </c>
      <c r="J615" s="9" t="s">
        <v>43</v>
      </c>
      <c r="K615" s="9" t="s">
        <v>226</v>
      </c>
      <c r="L615" s="9" t="s">
        <v>225</v>
      </c>
      <c r="M615" s="9" t="s">
        <v>226</v>
      </c>
      <c r="N615" s="9"/>
      <c r="O615" s="22" t="s">
        <v>1504</v>
      </c>
      <c r="P615" s="23" t="s">
        <v>43</v>
      </c>
      <c r="Q615" s="23" t="s">
        <v>226</v>
      </c>
      <c r="R615" s="23" t="s">
        <v>225</v>
      </c>
      <c r="S615" s="24" t="s">
        <v>226</v>
      </c>
    </row>
    <row r="616" spans="1:19" ht="15.75" customHeight="1" x14ac:dyDescent="0.2">
      <c r="A616" s="9"/>
      <c r="B616" s="10"/>
      <c r="C616" s="9"/>
      <c r="D616" s="9"/>
      <c r="E616" s="9"/>
      <c r="F616" s="9"/>
      <c r="G616" s="9"/>
      <c r="H616" s="9"/>
      <c r="I616" s="9" t="s">
        <v>1505</v>
      </c>
      <c r="J616" s="9" t="s">
        <v>43</v>
      </c>
      <c r="K616" s="9" t="s">
        <v>226</v>
      </c>
      <c r="L616" s="9" t="s">
        <v>225</v>
      </c>
      <c r="M616" s="9" t="s">
        <v>226</v>
      </c>
      <c r="N616" s="9"/>
      <c r="O616" s="22" t="s">
        <v>1505</v>
      </c>
      <c r="P616" s="23" t="s">
        <v>43</v>
      </c>
      <c r="Q616" s="23" t="s">
        <v>226</v>
      </c>
      <c r="R616" s="23" t="s">
        <v>225</v>
      </c>
      <c r="S616" s="24" t="s">
        <v>226</v>
      </c>
    </row>
    <row r="617" spans="1:19" ht="15.75" customHeight="1" x14ac:dyDescent="0.2">
      <c r="A617" s="9"/>
      <c r="B617" s="10"/>
      <c r="C617" s="9"/>
      <c r="D617" s="9"/>
      <c r="E617" s="9"/>
      <c r="F617" s="9"/>
      <c r="G617" s="9"/>
      <c r="H617" s="9"/>
      <c r="I617" s="9" t="s">
        <v>1506</v>
      </c>
      <c r="J617" s="9" t="s">
        <v>43</v>
      </c>
      <c r="K617" s="9" t="s">
        <v>226</v>
      </c>
      <c r="L617" s="9" t="s">
        <v>225</v>
      </c>
      <c r="M617" s="9" t="s">
        <v>226</v>
      </c>
      <c r="N617" s="9"/>
      <c r="O617" s="22" t="s">
        <v>1506</v>
      </c>
      <c r="P617" s="23" t="s">
        <v>43</v>
      </c>
      <c r="Q617" s="23" t="s">
        <v>226</v>
      </c>
      <c r="R617" s="23" t="s">
        <v>225</v>
      </c>
      <c r="S617" s="24" t="s">
        <v>226</v>
      </c>
    </row>
    <row r="618" spans="1:19" ht="15.75" customHeight="1" x14ac:dyDescent="0.2">
      <c r="A618" s="9"/>
      <c r="B618" s="10"/>
      <c r="C618" s="9"/>
      <c r="D618" s="9"/>
      <c r="E618" s="9"/>
      <c r="F618" s="9"/>
      <c r="G618" s="9"/>
      <c r="H618" s="9"/>
      <c r="I618" s="9" t="s">
        <v>1507</v>
      </c>
      <c r="J618" s="9" t="s">
        <v>43</v>
      </c>
      <c r="K618" s="9" t="s">
        <v>226</v>
      </c>
      <c r="L618" s="9" t="s">
        <v>225</v>
      </c>
      <c r="M618" s="9" t="s">
        <v>226</v>
      </c>
      <c r="N618" s="9"/>
      <c r="O618" s="22" t="s">
        <v>1507</v>
      </c>
      <c r="P618" s="23" t="s">
        <v>43</v>
      </c>
      <c r="Q618" s="23" t="s">
        <v>226</v>
      </c>
      <c r="R618" s="23" t="s">
        <v>225</v>
      </c>
      <c r="S618" s="24" t="s">
        <v>226</v>
      </c>
    </row>
    <row r="619" spans="1:19" ht="15.75" customHeight="1" x14ac:dyDescent="0.2">
      <c r="A619" s="9"/>
      <c r="B619" s="10"/>
      <c r="C619" s="9"/>
      <c r="D619" s="9"/>
      <c r="E619" s="9"/>
      <c r="F619" s="9"/>
      <c r="G619" s="9"/>
      <c r="H619" s="9"/>
      <c r="I619" s="9" t="s">
        <v>1508</v>
      </c>
      <c r="J619" s="9" t="s">
        <v>43</v>
      </c>
      <c r="K619" s="9" t="s">
        <v>226</v>
      </c>
      <c r="L619" s="9" t="s">
        <v>225</v>
      </c>
      <c r="M619" s="9" t="s">
        <v>226</v>
      </c>
      <c r="N619" s="9"/>
      <c r="O619" s="22" t="s">
        <v>1508</v>
      </c>
      <c r="P619" s="23" t="s">
        <v>43</v>
      </c>
      <c r="Q619" s="23" t="s">
        <v>226</v>
      </c>
      <c r="R619" s="23" t="s">
        <v>225</v>
      </c>
      <c r="S619" s="24" t="s">
        <v>226</v>
      </c>
    </row>
    <row r="620" spans="1:19" ht="15.75" customHeight="1" x14ac:dyDescent="0.2">
      <c r="A620" s="9"/>
      <c r="B620" s="10"/>
      <c r="C620" s="9"/>
      <c r="D620" s="9"/>
      <c r="E620" s="9"/>
      <c r="F620" s="9"/>
      <c r="G620" s="9"/>
      <c r="H620" s="9"/>
      <c r="I620" s="9" t="s">
        <v>1509</v>
      </c>
      <c r="J620" s="9" t="s">
        <v>43</v>
      </c>
      <c r="K620" s="9" t="s">
        <v>226</v>
      </c>
      <c r="L620" s="9" t="s">
        <v>225</v>
      </c>
      <c r="M620" s="9" t="s">
        <v>226</v>
      </c>
      <c r="N620" s="9"/>
      <c r="O620" s="22" t="s">
        <v>1509</v>
      </c>
      <c r="P620" s="23" t="s">
        <v>43</v>
      </c>
      <c r="Q620" s="23" t="s">
        <v>226</v>
      </c>
      <c r="R620" s="23" t="s">
        <v>225</v>
      </c>
      <c r="S620" s="24" t="s">
        <v>226</v>
      </c>
    </row>
    <row r="621" spans="1:19" ht="15.75" customHeight="1" x14ac:dyDescent="0.2">
      <c r="A621" s="9"/>
      <c r="B621" s="10"/>
      <c r="C621" s="9"/>
      <c r="D621" s="9"/>
      <c r="E621" s="9"/>
      <c r="F621" s="9"/>
      <c r="G621" s="9"/>
      <c r="H621" s="9"/>
      <c r="I621" s="9" t="s">
        <v>1510</v>
      </c>
      <c r="J621" s="9" t="s">
        <v>43</v>
      </c>
      <c r="K621" s="9" t="s">
        <v>226</v>
      </c>
      <c r="L621" s="9" t="s">
        <v>225</v>
      </c>
      <c r="M621" s="9" t="s">
        <v>226</v>
      </c>
      <c r="N621" s="9"/>
      <c r="O621" s="22" t="s">
        <v>1510</v>
      </c>
      <c r="P621" s="23" t="s">
        <v>43</v>
      </c>
      <c r="Q621" s="23" t="s">
        <v>226</v>
      </c>
      <c r="R621" s="23" t="s">
        <v>225</v>
      </c>
      <c r="S621" s="24" t="s">
        <v>226</v>
      </c>
    </row>
    <row r="622" spans="1:19" ht="15.75" customHeight="1" x14ac:dyDescent="0.2">
      <c r="A622" s="9"/>
      <c r="B622" s="10"/>
      <c r="C622" s="9"/>
      <c r="D622" s="9"/>
      <c r="E622" s="9"/>
      <c r="F622" s="9"/>
      <c r="G622" s="9"/>
      <c r="H622" s="9"/>
      <c r="I622" s="9" t="s">
        <v>1511</v>
      </c>
      <c r="J622" s="9" t="s">
        <v>43</v>
      </c>
      <c r="K622" s="9" t="s">
        <v>226</v>
      </c>
      <c r="L622" s="9" t="s">
        <v>225</v>
      </c>
      <c r="M622" s="9" t="s">
        <v>226</v>
      </c>
      <c r="N622" s="9"/>
      <c r="O622" s="22" t="s">
        <v>1511</v>
      </c>
      <c r="P622" s="23" t="s">
        <v>43</v>
      </c>
      <c r="Q622" s="23" t="s">
        <v>226</v>
      </c>
      <c r="R622" s="23" t="s">
        <v>225</v>
      </c>
      <c r="S622" s="24" t="s">
        <v>226</v>
      </c>
    </row>
    <row r="623" spans="1:19" ht="15.75" customHeight="1" x14ac:dyDescent="0.2">
      <c r="A623" s="9"/>
      <c r="B623" s="10"/>
      <c r="C623" s="9"/>
      <c r="D623" s="9"/>
      <c r="E623" s="9"/>
      <c r="F623" s="9"/>
      <c r="G623" s="9"/>
      <c r="H623" s="9"/>
      <c r="I623" s="9" t="s">
        <v>1512</v>
      </c>
      <c r="J623" s="9" t="s">
        <v>43</v>
      </c>
      <c r="K623" s="9" t="s">
        <v>226</v>
      </c>
      <c r="L623" s="9" t="s">
        <v>225</v>
      </c>
      <c r="M623" s="9" t="s">
        <v>226</v>
      </c>
      <c r="N623" s="9"/>
      <c r="O623" s="22" t="s">
        <v>1512</v>
      </c>
      <c r="P623" s="23" t="s">
        <v>43</v>
      </c>
      <c r="Q623" s="23" t="s">
        <v>226</v>
      </c>
      <c r="R623" s="23" t="s">
        <v>225</v>
      </c>
      <c r="S623" s="24" t="s">
        <v>226</v>
      </c>
    </row>
    <row r="624" spans="1:19" ht="15.75" customHeight="1" x14ac:dyDescent="0.2">
      <c r="A624" s="9"/>
      <c r="B624" s="10"/>
      <c r="C624" s="9"/>
      <c r="D624" s="9"/>
      <c r="E624" s="9"/>
      <c r="F624" s="9"/>
      <c r="G624" s="9"/>
      <c r="H624" s="9"/>
      <c r="I624" s="9" t="s">
        <v>1513</v>
      </c>
      <c r="J624" s="9" t="s">
        <v>43</v>
      </c>
      <c r="K624" s="9" t="s">
        <v>226</v>
      </c>
      <c r="L624" s="9" t="s">
        <v>225</v>
      </c>
      <c r="M624" s="9" t="s">
        <v>226</v>
      </c>
      <c r="N624" s="9"/>
      <c r="O624" s="22" t="s">
        <v>1513</v>
      </c>
      <c r="P624" s="23" t="s">
        <v>43</v>
      </c>
      <c r="Q624" s="23" t="s">
        <v>226</v>
      </c>
      <c r="R624" s="23" t="s">
        <v>225</v>
      </c>
      <c r="S624" s="24" t="s">
        <v>226</v>
      </c>
    </row>
    <row r="625" spans="1:19" ht="15.75" customHeight="1" x14ac:dyDescent="0.2">
      <c r="A625" s="9"/>
      <c r="B625" s="10"/>
      <c r="C625" s="9"/>
      <c r="D625" s="9"/>
      <c r="E625" s="9"/>
      <c r="F625" s="9"/>
      <c r="G625" s="9"/>
      <c r="H625" s="9"/>
      <c r="I625" s="9" t="s">
        <v>1514</v>
      </c>
      <c r="J625" s="9" t="s">
        <v>43</v>
      </c>
      <c r="K625" s="9" t="s">
        <v>226</v>
      </c>
      <c r="L625" s="9" t="s">
        <v>225</v>
      </c>
      <c r="M625" s="9" t="s">
        <v>226</v>
      </c>
      <c r="N625" s="9"/>
      <c r="O625" s="22" t="s">
        <v>1514</v>
      </c>
      <c r="P625" s="23" t="s">
        <v>43</v>
      </c>
      <c r="Q625" s="23" t="s">
        <v>226</v>
      </c>
      <c r="R625" s="23" t="s">
        <v>225</v>
      </c>
      <c r="S625" s="24" t="s">
        <v>226</v>
      </c>
    </row>
    <row r="626" spans="1:19" ht="15.75" customHeight="1" x14ac:dyDescent="0.2">
      <c r="A626" s="9"/>
      <c r="B626" s="10"/>
      <c r="C626" s="9"/>
      <c r="D626" s="9"/>
      <c r="E626" s="9"/>
      <c r="F626" s="9"/>
      <c r="G626" s="9"/>
      <c r="H626" s="9"/>
      <c r="I626" s="9" t="s">
        <v>1515</v>
      </c>
      <c r="J626" s="9" t="s">
        <v>43</v>
      </c>
      <c r="K626" s="9" t="s">
        <v>226</v>
      </c>
      <c r="L626" s="9" t="s">
        <v>225</v>
      </c>
      <c r="M626" s="9" t="s">
        <v>226</v>
      </c>
      <c r="N626" s="9"/>
      <c r="O626" s="22" t="s">
        <v>1515</v>
      </c>
      <c r="P626" s="23" t="s">
        <v>43</v>
      </c>
      <c r="Q626" s="23" t="s">
        <v>226</v>
      </c>
      <c r="R626" s="23" t="s">
        <v>225</v>
      </c>
      <c r="S626" s="24" t="s">
        <v>226</v>
      </c>
    </row>
    <row r="627" spans="1:19" ht="15.75" customHeight="1" x14ac:dyDescent="0.2">
      <c r="A627" s="9"/>
      <c r="B627" s="10"/>
      <c r="C627" s="9"/>
      <c r="D627" s="9"/>
      <c r="E627" s="9"/>
      <c r="F627" s="9"/>
      <c r="G627" s="9"/>
      <c r="H627" s="9"/>
      <c r="I627" s="9" t="s">
        <v>1516</v>
      </c>
      <c r="J627" s="9" t="s">
        <v>43</v>
      </c>
      <c r="K627" s="9" t="s">
        <v>226</v>
      </c>
      <c r="L627" s="9" t="s">
        <v>225</v>
      </c>
      <c r="M627" s="9" t="s">
        <v>226</v>
      </c>
      <c r="N627" s="9"/>
      <c r="O627" s="22" t="s">
        <v>1516</v>
      </c>
      <c r="P627" s="23" t="s">
        <v>43</v>
      </c>
      <c r="Q627" s="23" t="s">
        <v>226</v>
      </c>
      <c r="R627" s="23" t="s">
        <v>225</v>
      </c>
      <c r="S627" s="24" t="s">
        <v>226</v>
      </c>
    </row>
    <row r="628" spans="1:19" ht="15.75" customHeight="1" x14ac:dyDescent="0.2">
      <c r="A628" s="9"/>
      <c r="B628" s="10"/>
      <c r="C628" s="9"/>
      <c r="D628" s="9"/>
      <c r="E628" s="9"/>
      <c r="F628" s="9"/>
      <c r="G628" s="9"/>
      <c r="H628" s="9"/>
      <c r="I628" s="9" t="s">
        <v>1517</v>
      </c>
      <c r="J628" s="9" t="s">
        <v>43</v>
      </c>
      <c r="K628" s="9" t="s">
        <v>226</v>
      </c>
      <c r="L628" s="9" t="s">
        <v>225</v>
      </c>
      <c r="M628" s="9" t="s">
        <v>226</v>
      </c>
      <c r="N628" s="9"/>
      <c r="O628" s="22" t="s">
        <v>1517</v>
      </c>
      <c r="P628" s="23" t="s">
        <v>43</v>
      </c>
      <c r="Q628" s="23" t="s">
        <v>226</v>
      </c>
      <c r="R628" s="23" t="s">
        <v>225</v>
      </c>
      <c r="S628" s="24" t="s">
        <v>226</v>
      </c>
    </row>
    <row r="629" spans="1:19" ht="15.75" customHeight="1" x14ac:dyDescent="0.2">
      <c r="A629" s="9"/>
      <c r="B629" s="10"/>
      <c r="C629" s="9"/>
      <c r="D629" s="9"/>
      <c r="E629" s="9"/>
      <c r="F629" s="9"/>
      <c r="G629" s="9"/>
      <c r="H629" s="9"/>
      <c r="I629" s="9" t="s">
        <v>1518</v>
      </c>
      <c r="J629" s="9" t="s">
        <v>43</v>
      </c>
      <c r="K629" s="9" t="s">
        <v>226</v>
      </c>
      <c r="L629" s="9" t="s">
        <v>225</v>
      </c>
      <c r="M629" s="9" t="s">
        <v>226</v>
      </c>
      <c r="N629" s="9"/>
      <c r="O629" s="22" t="s">
        <v>1518</v>
      </c>
      <c r="P629" s="23" t="s">
        <v>43</v>
      </c>
      <c r="Q629" s="23" t="s">
        <v>226</v>
      </c>
      <c r="R629" s="23" t="s">
        <v>225</v>
      </c>
      <c r="S629" s="24" t="s">
        <v>226</v>
      </c>
    </row>
    <row r="630" spans="1:19" ht="15.75" customHeight="1" x14ac:dyDescent="0.2">
      <c r="A630" s="9"/>
      <c r="B630" s="10"/>
      <c r="C630" s="9"/>
      <c r="D630" s="9"/>
      <c r="E630" s="9"/>
      <c r="F630" s="9"/>
      <c r="G630" s="9"/>
      <c r="H630" s="9"/>
      <c r="I630" s="9" t="s">
        <v>1519</v>
      </c>
      <c r="J630" s="9" t="s">
        <v>43</v>
      </c>
      <c r="K630" s="9" t="s">
        <v>225</v>
      </c>
      <c r="L630" s="9" t="s">
        <v>225</v>
      </c>
      <c r="M630" s="9" t="s">
        <v>226</v>
      </c>
      <c r="N630" s="9"/>
      <c r="O630" s="22" t="s">
        <v>1519</v>
      </c>
      <c r="P630" s="23" t="s">
        <v>43</v>
      </c>
      <c r="Q630" s="23" t="s">
        <v>225</v>
      </c>
      <c r="R630" s="23" t="s">
        <v>225</v>
      </c>
      <c r="S630" s="24" t="s">
        <v>226</v>
      </c>
    </row>
    <row r="631" spans="1:19" ht="15.75" customHeight="1" x14ac:dyDescent="0.2">
      <c r="A631" s="9"/>
      <c r="B631" s="10"/>
      <c r="C631" s="9"/>
      <c r="D631" s="9"/>
      <c r="E631" s="9"/>
      <c r="F631" s="9"/>
      <c r="G631" s="9"/>
      <c r="H631" s="9"/>
      <c r="I631" s="9" t="s">
        <v>1520</v>
      </c>
      <c r="J631" s="9" t="s">
        <v>43</v>
      </c>
      <c r="K631" s="9" t="s">
        <v>226</v>
      </c>
      <c r="L631" s="9" t="s">
        <v>225</v>
      </c>
      <c r="M631" s="9" t="s">
        <v>226</v>
      </c>
      <c r="N631" s="9"/>
      <c r="O631" s="22" t="s">
        <v>1520</v>
      </c>
      <c r="P631" s="23" t="s">
        <v>43</v>
      </c>
      <c r="Q631" s="23" t="s">
        <v>226</v>
      </c>
      <c r="R631" s="23" t="s">
        <v>225</v>
      </c>
      <c r="S631" s="24" t="s">
        <v>226</v>
      </c>
    </row>
    <row r="632" spans="1:19" ht="15.75" customHeight="1" x14ac:dyDescent="0.2">
      <c r="A632" s="9"/>
      <c r="B632" s="10"/>
      <c r="C632" s="9"/>
      <c r="D632" s="9"/>
      <c r="E632" s="9"/>
      <c r="F632" s="9"/>
      <c r="G632" s="9"/>
      <c r="H632" s="9"/>
      <c r="I632" s="9" t="s">
        <v>1521</v>
      </c>
      <c r="J632" s="9" t="s">
        <v>43</v>
      </c>
      <c r="K632" s="9" t="s">
        <v>226</v>
      </c>
      <c r="L632" s="9" t="s">
        <v>225</v>
      </c>
      <c r="M632" s="9" t="s">
        <v>226</v>
      </c>
      <c r="N632" s="9"/>
      <c r="O632" s="22" t="s">
        <v>1521</v>
      </c>
      <c r="P632" s="23" t="s">
        <v>43</v>
      </c>
      <c r="Q632" s="23" t="s">
        <v>226</v>
      </c>
      <c r="R632" s="23" t="s">
        <v>225</v>
      </c>
      <c r="S632" s="24" t="s">
        <v>226</v>
      </c>
    </row>
    <row r="633" spans="1:19" ht="15.75" customHeight="1" x14ac:dyDescent="0.2">
      <c r="A633" s="9"/>
      <c r="B633" s="10"/>
      <c r="C633" s="9"/>
      <c r="D633" s="9"/>
      <c r="E633" s="9"/>
      <c r="F633" s="9"/>
      <c r="G633" s="9"/>
      <c r="H633" s="9"/>
      <c r="I633" s="9" t="s">
        <v>1522</v>
      </c>
      <c r="J633" s="9" t="s">
        <v>43</v>
      </c>
      <c r="K633" s="9" t="s">
        <v>225</v>
      </c>
      <c r="L633" s="9" t="s">
        <v>225</v>
      </c>
      <c r="M633" s="9" t="s">
        <v>226</v>
      </c>
      <c r="N633" s="9"/>
      <c r="O633" s="22" t="s">
        <v>1522</v>
      </c>
      <c r="P633" s="23" t="s">
        <v>43</v>
      </c>
      <c r="Q633" s="23" t="s">
        <v>225</v>
      </c>
      <c r="R633" s="23" t="s">
        <v>225</v>
      </c>
      <c r="S633" s="24" t="s">
        <v>226</v>
      </c>
    </row>
    <row r="634" spans="1:19" ht="15.75" customHeight="1" x14ac:dyDescent="0.2">
      <c r="A634" s="9"/>
      <c r="B634" s="10"/>
      <c r="C634" s="9"/>
      <c r="D634" s="9"/>
      <c r="E634" s="9"/>
      <c r="F634" s="9"/>
      <c r="G634" s="9"/>
      <c r="H634" s="9"/>
      <c r="I634" s="9" t="s">
        <v>1523</v>
      </c>
      <c r="J634" s="9" t="s">
        <v>43</v>
      </c>
      <c r="K634" s="9" t="s">
        <v>226</v>
      </c>
      <c r="L634" s="9" t="s">
        <v>225</v>
      </c>
      <c r="M634" s="9" t="s">
        <v>226</v>
      </c>
      <c r="N634" s="9"/>
      <c r="O634" s="22" t="s">
        <v>1523</v>
      </c>
      <c r="P634" s="23" t="s">
        <v>43</v>
      </c>
      <c r="Q634" s="23" t="s">
        <v>226</v>
      </c>
      <c r="R634" s="23" t="s">
        <v>225</v>
      </c>
      <c r="S634" s="24" t="s">
        <v>226</v>
      </c>
    </row>
    <row r="635" spans="1:19" ht="15.75" customHeight="1" x14ac:dyDescent="0.2">
      <c r="A635" s="9"/>
      <c r="B635" s="10"/>
      <c r="C635" s="9"/>
      <c r="D635" s="9"/>
      <c r="E635" s="9"/>
      <c r="F635" s="9"/>
      <c r="G635" s="9"/>
      <c r="H635" s="9"/>
      <c r="I635" s="9" t="s">
        <v>1524</v>
      </c>
      <c r="J635" s="9" t="s">
        <v>43</v>
      </c>
      <c r="K635" s="9" t="s">
        <v>226</v>
      </c>
      <c r="L635" s="9" t="s">
        <v>225</v>
      </c>
      <c r="M635" s="9" t="s">
        <v>226</v>
      </c>
      <c r="N635" s="9"/>
      <c r="O635" s="22" t="s">
        <v>1524</v>
      </c>
      <c r="P635" s="23" t="s">
        <v>43</v>
      </c>
      <c r="Q635" s="23" t="s">
        <v>226</v>
      </c>
      <c r="R635" s="23" t="s">
        <v>225</v>
      </c>
      <c r="S635" s="24" t="s">
        <v>226</v>
      </c>
    </row>
    <row r="636" spans="1:19" ht="15.75" customHeight="1" x14ac:dyDescent="0.2">
      <c r="A636" s="9"/>
      <c r="B636" s="10"/>
      <c r="C636" s="9"/>
      <c r="D636" s="9"/>
      <c r="E636" s="9"/>
      <c r="F636" s="9"/>
      <c r="G636" s="9"/>
      <c r="H636" s="9"/>
      <c r="I636" s="9" t="s">
        <v>1525</v>
      </c>
      <c r="J636" s="9" t="s">
        <v>43</v>
      </c>
      <c r="K636" s="9" t="s">
        <v>225</v>
      </c>
      <c r="L636" s="9" t="s">
        <v>225</v>
      </c>
      <c r="M636" s="9" t="s">
        <v>226</v>
      </c>
      <c r="N636" s="9"/>
      <c r="O636" s="22" t="s">
        <v>1525</v>
      </c>
      <c r="P636" s="23" t="s">
        <v>43</v>
      </c>
      <c r="Q636" s="23" t="s">
        <v>225</v>
      </c>
      <c r="R636" s="23" t="s">
        <v>225</v>
      </c>
      <c r="S636" s="24" t="s">
        <v>226</v>
      </c>
    </row>
    <row r="637" spans="1:19" ht="15.75" customHeight="1" x14ac:dyDescent="0.2">
      <c r="A637" s="9"/>
      <c r="B637" s="10"/>
      <c r="C637" s="9"/>
      <c r="D637" s="9"/>
      <c r="E637" s="9"/>
      <c r="F637" s="9"/>
      <c r="G637" s="9"/>
      <c r="H637" s="9"/>
      <c r="I637" s="9" t="s">
        <v>1526</v>
      </c>
      <c r="J637" s="9" t="s">
        <v>43</v>
      </c>
      <c r="K637" s="9" t="s">
        <v>226</v>
      </c>
      <c r="L637" s="9" t="s">
        <v>225</v>
      </c>
      <c r="M637" s="9" t="s">
        <v>226</v>
      </c>
      <c r="N637" s="9"/>
      <c r="O637" s="22" t="s">
        <v>1526</v>
      </c>
      <c r="P637" s="23" t="s">
        <v>43</v>
      </c>
      <c r="Q637" s="23" t="s">
        <v>226</v>
      </c>
      <c r="R637" s="23" t="s">
        <v>225</v>
      </c>
      <c r="S637" s="24" t="s">
        <v>226</v>
      </c>
    </row>
    <row r="638" spans="1:19" ht="15.75" customHeight="1" x14ac:dyDescent="0.2">
      <c r="A638" s="9"/>
      <c r="B638" s="10"/>
      <c r="C638" s="9"/>
      <c r="D638" s="9"/>
      <c r="E638" s="9"/>
      <c r="F638" s="9"/>
      <c r="G638" s="9"/>
      <c r="H638" s="9"/>
      <c r="I638" s="9" t="s">
        <v>1527</v>
      </c>
      <c r="J638" s="9" t="s">
        <v>43</v>
      </c>
      <c r="K638" s="9" t="s">
        <v>225</v>
      </c>
      <c r="L638" s="9" t="s">
        <v>225</v>
      </c>
      <c r="M638" s="9" t="s">
        <v>226</v>
      </c>
      <c r="N638" s="9"/>
      <c r="O638" s="22" t="s">
        <v>1527</v>
      </c>
      <c r="P638" s="23" t="s">
        <v>43</v>
      </c>
      <c r="Q638" s="23" t="s">
        <v>225</v>
      </c>
      <c r="R638" s="23" t="s">
        <v>225</v>
      </c>
      <c r="S638" s="24" t="s">
        <v>226</v>
      </c>
    </row>
    <row r="639" spans="1:19" ht="15.75" customHeight="1" x14ac:dyDescent="0.2">
      <c r="A639" s="9"/>
      <c r="B639" s="10"/>
      <c r="C639" s="9"/>
      <c r="D639" s="9"/>
      <c r="E639" s="9"/>
      <c r="F639" s="9"/>
      <c r="G639" s="9"/>
      <c r="H639" s="9"/>
      <c r="I639" s="9" t="s">
        <v>1528</v>
      </c>
      <c r="J639" s="9" t="s">
        <v>43</v>
      </c>
      <c r="K639" s="9" t="s">
        <v>226</v>
      </c>
      <c r="L639" s="9" t="s">
        <v>225</v>
      </c>
      <c r="M639" s="9" t="s">
        <v>226</v>
      </c>
      <c r="N639" s="9"/>
      <c r="O639" s="22" t="s">
        <v>1528</v>
      </c>
      <c r="P639" s="23" t="s">
        <v>43</v>
      </c>
      <c r="Q639" s="23" t="s">
        <v>226</v>
      </c>
      <c r="R639" s="23" t="s">
        <v>225</v>
      </c>
      <c r="S639" s="24" t="s">
        <v>226</v>
      </c>
    </row>
    <row r="640" spans="1:19" ht="15.75" customHeight="1" x14ac:dyDescent="0.2">
      <c r="A640" s="9"/>
      <c r="B640" s="10"/>
      <c r="C640" s="9"/>
      <c r="D640" s="9"/>
      <c r="E640" s="9"/>
      <c r="F640" s="9"/>
      <c r="G640" s="9"/>
      <c r="H640" s="9"/>
      <c r="I640" s="9" t="s">
        <v>1529</v>
      </c>
      <c r="J640" s="9" t="s">
        <v>43</v>
      </c>
      <c r="K640" s="9" t="s">
        <v>225</v>
      </c>
      <c r="L640" s="9" t="s">
        <v>225</v>
      </c>
      <c r="M640" s="9" t="s">
        <v>226</v>
      </c>
      <c r="N640" s="9"/>
      <c r="O640" s="22" t="s">
        <v>1529</v>
      </c>
      <c r="P640" s="23" t="s">
        <v>43</v>
      </c>
      <c r="Q640" s="23" t="s">
        <v>225</v>
      </c>
      <c r="R640" s="23" t="s">
        <v>225</v>
      </c>
      <c r="S640" s="24" t="s">
        <v>226</v>
      </c>
    </row>
    <row r="641" spans="1:19" ht="15.75" customHeight="1" x14ac:dyDescent="0.2">
      <c r="A641" s="9"/>
      <c r="B641" s="10"/>
      <c r="C641" s="9"/>
      <c r="D641" s="9"/>
      <c r="E641" s="9"/>
      <c r="F641" s="9"/>
      <c r="G641" s="9"/>
      <c r="H641" s="9"/>
      <c r="I641" s="9" t="s">
        <v>1530</v>
      </c>
      <c r="J641" s="9" t="s">
        <v>43</v>
      </c>
      <c r="K641" s="9" t="s">
        <v>226</v>
      </c>
      <c r="L641" s="9" t="s">
        <v>225</v>
      </c>
      <c r="M641" s="9" t="s">
        <v>226</v>
      </c>
      <c r="N641" s="9"/>
      <c r="O641" s="22" t="s">
        <v>1530</v>
      </c>
      <c r="P641" s="23" t="s">
        <v>43</v>
      </c>
      <c r="Q641" s="23" t="s">
        <v>226</v>
      </c>
      <c r="R641" s="23" t="s">
        <v>225</v>
      </c>
      <c r="S641" s="24" t="s">
        <v>226</v>
      </c>
    </row>
    <row r="642" spans="1:19" ht="15.75" customHeight="1" x14ac:dyDescent="0.2">
      <c r="A642" s="9"/>
      <c r="B642" s="10"/>
      <c r="C642" s="9"/>
      <c r="D642" s="9"/>
      <c r="E642" s="9"/>
      <c r="F642" s="9"/>
      <c r="G642" s="9"/>
      <c r="H642" s="9"/>
      <c r="I642" s="9" t="s">
        <v>1531</v>
      </c>
      <c r="J642" s="9" t="s">
        <v>43</v>
      </c>
      <c r="K642" s="9" t="s">
        <v>226</v>
      </c>
      <c r="L642" s="9" t="s">
        <v>225</v>
      </c>
      <c r="M642" s="9" t="s">
        <v>226</v>
      </c>
      <c r="N642" s="9"/>
      <c r="O642" s="22" t="s">
        <v>1531</v>
      </c>
      <c r="P642" s="23" t="s">
        <v>43</v>
      </c>
      <c r="Q642" s="23" t="s">
        <v>226</v>
      </c>
      <c r="R642" s="23" t="s">
        <v>225</v>
      </c>
      <c r="S642" s="24" t="s">
        <v>226</v>
      </c>
    </row>
    <row r="643" spans="1:19" ht="15.75" customHeight="1" x14ac:dyDescent="0.2">
      <c r="A643" s="9"/>
      <c r="B643" s="10"/>
      <c r="C643" s="9"/>
      <c r="D643" s="9"/>
      <c r="E643" s="9"/>
      <c r="F643" s="9"/>
      <c r="G643" s="9"/>
      <c r="H643" s="9"/>
      <c r="I643" s="9" t="s">
        <v>1532</v>
      </c>
      <c r="J643" s="9" t="s">
        <v>43</v>
      </c>
      <c r="K643" s="9" t="s">
        <v>226</v>
      </c>
      <c r="L643" s="9" t="s">
        <v>225</v>
      </c>
      <c r="M643" s="9" t="s">
        <v>226</v>
      </c>
      <c r="N643" s="9"/>
      <c r="O643" s="22" t="s">
        <v>1532</v>
      </c>
      <c r="P643" s="23" t="s">
        <v>43</v>
      </c>
      <c r="Q643" s="23" t="s">
        <v>226</v>
      </c>
      <c r="R643" s="23" t="s">
        <v>225</v>
      </c>
      <c r="S643" s="24" t="s">
        <v>226</v>
      </c>
    </row>
    <row r="644" spans="1:19" ht="15.75" customHeight="1" x14ac:dyDescent="0.2">
      <c r="A644" s="9"/>
      <c r="B644" s="10"/>
      <c r="C644" s="9"/>
      <c r="D644" s="9"/>
      <c r="E644" s="9"/>
      <c r="F644" s="9"/>
      <c r="G644" s="9"/>
      <c r="H644" s="9"/>
      <c r="I644" s="9" t="s">
        <v>1533</v>
      </c>
      <c r="J644" s="9" t="s">
        <v>43</v>
      </c>
      <c r="K644" s="9" t="s">
        <v>226</v>
      </c>
      <c r="L644" s="9" t="s">
        <v>225</v>
      </c>
      <c r="M644" s="9" t="s">
        <v>226</v>
      </c>
      <c r="N644" s="9"/>
      <c r="O644" s="22" t="s">
        <v>1533</v>
      </c>
      <c r="P644" s="23" t="s">
        <v>43</v>
      </c>
      <c r="Q644" s="23" t="s">
        <v>226</v>
      </c>
      <c r="R644" s="23" t="s">
        <v>225</v>
      </c>
      <c r="S644" s="24" t="s">
        <v>226</v>
      </c>
    </row>
    <row r="645" spans="1:19" ht="15.75" customHeight="1" x14ac:dyDescent="0.2">
      <c r="A645" s="9"/>
      <c r="B645" s="10"/>
      <c r="C645" s="9"/>
      <c r="D645" s="9"/>
      <c r="E645" s="9"/>
      <c r="F645" s="9"/>
      <c r="G645" s="9"/>
      <c r="H645" s="9"/>
      <c r="I645" s="9" t="s">
        <v>1534</v>
      </c>
      <c r="J645" s="9" t="s">
        <v>43</v>
      </c>
      <c r="K645" s="9" t="s">
        <v>225</v>
      </c>
      <c r="L645" s="9" t="s">
        <v>225</v>
      </c>
      <c r="M645" s="9" t="s">
        <v>226</v>
      </c>
      <c r="N645" s="9"/>
      <c r="O645" s="22" t="s">
        <v>1534</v>
      </c>
      <c r="P645" s="23" t="s">
        <v>43</v>
      </c>
      <c r="Q645" s="23" t="s">
        <v>225</v>
      </c>
      <c r="R645" s="23" t="s">
        <v>225</v>
      </c>
      <c r="S645" s="24" t="s">
        <v>226</v>
      </c>
    </row>
    <row r="646" spans="1:19" ht="15.75" customHeight="1" x14ac:dyDescent="0.2">
      <c r="A646" s="9"/>
      <c r="B646" s="10"/>
      <c r="C646" s="9"/>
      <c r="D646" s="9"/>
      <c r="E646" s="9"/>
      <c r="F646" s="9"/>
      <c r="G646" s="9"/>
      <c r="H646" s="9"/>
      <c r="I646" s="9" t="s">
        <v>1535</v>
      </c>
      <c r="J646" s="9" t="s">
        <v>1056</v>
      </c>
      <c r="K646" s="9" t="s">
        <v>226</v>
      </c>
      <c r="L646" s="9" t="s">
        <v>225</v>
      </c>
      <c r="M646" s="9" t="s">
        <v>226</v>
      </c>
      <c r="N646" s="9"/>
      <c r="O646" s="22" t="s">
        <v>1535</v>
      </c>
      <c r="P646" s="23" t="s">
        <v>1056</v>
      </c>
      <c r="Q646" s="23" t="s">
        <v>226</v>
      </c>
      <c r="R646" s="23" t="s">
        <v>225</v>
      </c>
      <c r="S646" s="24" t="s">
        <v>226</v>
      </c>
    </row>
    <row r="647" spans="1:19" ht="15.75" customHeight="1" x14ac:dyDescent="0.2">
      <c r="A647" s="9"/>
      <c r="B647" s="10"/>
      <c r="C647" s="9"/>
      <c r="D647" s="9"/>
      <c r="E647" s="9"/>
      <c r="F647" s="9"/>
      <c r="G647" s="9"/>
      <c r="H647" s="9"/>
      <c r="I647" s="9" t="s">
        <v>1536</v>
      </c>
      <c r="J647" s="9" t="s">
        <v>43</v>
      </c>
      <c r="K647" s="9" t="s">
        <v>226</v>
      </c>
      <c r="L647" s="9" t="s">
        <v>225</v>
      </c>
      <c r="M647" s="9" t="s">
        <v>226</v>
      </c>
      <c r="N647" s="9"/>
      <c r="O647" s="22" t="s">
        <v>1536</v>
      </c>
      <c r="P647" s="23" t="s">
        <v>43</v>
      </c>
      <c r="Q647" s="23" t="s">
        <v>226</v>
      </c>
      <c r="R647" s="23" t="s">
        <v>225</v>
      </c>
      <c r="S647" s="24" t="s">
        <v>226</v>
      </c>
    </row>
    <row r="648" spans="1:19" ht="15.75" customHeight="1" x14ac:dyDescent="0.2">
      <c r="A648" s="9"/>
      <c r="B648" s="10"/>
      <c r="C648" s="9"/>
      <c r="D648" s="9"/>
      <c r="E648" s="9"/>
      <c r="F648" s="9"/>
      <c r="G648" s="9"/>
      <c r="H648" s="9"/>
      <c r="I648" s="9" t="s">
        <v>1537</v>
      </c>
      <c r="J648" s="9" t="s">
        <v>43</v>
      </c>
      <c r="K648" s="9" t="s">
        <v>225</v>
      </c>
      <c r="L648" s="9" t="s">
        <v>225</v>
      </c>
      <c r="M648" s="9" t="s">
        <v>226</v>
      </c>
      <c r="N648" s="9"/>
      <c r="O648" s="22" t="s">
        <v>1537</v>
      </c>
      <c r="P648" s="23" t="s">
        <v>43</v>
      </c>
      <c r="Q648" s="23" t="s">
        <v>225</v>
      </c>
      <c r="R648" s="23" t="s">
        <v>225</v>
      </c>
      <c r="S648" s="24" t="s">
        <v>226</v>
      </c>
    </row>
    <row r="649" spans="1:19" ht="15.75" customHeight="1" x14ac:dyDescent="0.2">
      <c r="A649" s="9"/>
      <c r="B649" s="10"/>
      <c r="C649" s="9"/>
      <c r="D649" s="9"/>
      <c r="E649" s="9"/>
      <c r="F649" s="9"/>
      <c r="G649" s="9"/>
      <c r="H649" s="9"/>
      <c r="I649" s="9" t="s">
        <v>1538</v>
      </c>
      <c r="J649" s="9" t="s">
        <v>43</v>
      </c>
      <c r="K649" s="9" t="s">
        <v>225</v>
      </c>
      <c r="L649" s="9" t="s">
        <v>225</v>
      </c>
      <c r="M649" s="9" t="s">
        <v>226</v>
      </c>
      <c r="N649" s="9"/>
      <c r="O649" s="22" t="s">
        <v>1538</v>
      </c>
      <c r="P649" s="23" t="s">
        <v>43</v>
      </c>
      <c r="Q649" s="23" t="s">
        <v>225</v>
      </c>
      <c r="R649" s="23" t="s">
        <v>225</v>
      </c>
      <c r="S649" s="24" t="s">
        <v>226</v>
      </c>
    </row>
    <row r="650" spans="1:19" ht="15.75" customHeight="1" x14ac:dyDescent="0.2">
      <c r="A650" s="9"/>
      <c r="B650" s="10"/>
      <c r="C650" s="9"/>
      <c r="D650" s="9"/>
      <c r="E650" s="9"/>
      <c r="F650" s="9"/>
      <c r="G650" s="9"/>
      <c r="H650" s="9"/>
      <c r="I650" s="9" t="s">
        <v>1539</v>
      </c>
      <c r="J650" s="9" t="s">
        <v>43</v>
      </c>
      <c r="K650" s="9" t="s">
        <v>226</v>
      </c>
      <c r="L650" s="9" t="s">
        <v>225</v>
      </c>
      <c r="M650" s="9" t="s">
        <v>226</v>
      </c>
      <c r="N650" s="9"/>
      <c r="O650" s="22" t="s">
        <v>1539</v>
      </c>
      <c r="P650" s="23" t="s">
        <v>43</v>
      </c>
      <c r="Q650" s="23" t="s">
        <v>226</v>
      </c>
      <c r="R650" s="23" t="s">
        <v>225</v>
      </c>
      <c r="S650" s="24" t="s">
        <v>226</v>
      </c>
    </row>
    <row r="651" spans="1:19" ht="15.75" customHeight="1" x14ac:dyDescent="0.2">
      <c r="A651" s="9"/>
      <c r="B651" s="10"/>
      <c r="C651" s="9"/>
      <c r="D651" s="9"/>
      <c r="E651" s="9"/>
      <c r="F651" s="9"/>
      <c r="G651" s="9"/>
      <c r="H651" s="9"/>
      <c r="I651" s="9" t="s">
        <v>1540</v>
      </c>
      <c r="J651" s="9" t="s">
        <v>43</v>
      </c>
      <c r="K651" s="9" t="s">
        <v>226</v>
      </c>
      <c r="L651" s="9" t="s">
        <v>225</v>
      </c>
      <c r="M651" s="9" t="s">
        <v>226</v>
      </c>
      <c r="N651" s="9"/>
      <c r="O651" s="22" t="s">
        <v>1540</v>
      </c>
      <c r="P651" s="23" t="s">
        <v>43</v>
      </c>
      <c r="Q651" s="23" t="s">
        <v>226</v>
      </c>
      <c r="R651" s="23" t="s">
        <v>225</v>
      </c>
      <c r="S651" s="24" t="s">
        <v>226</v>
      </c>
    </row>
    <row r="652" spans="1:19" ht="15.75" customHeight="1" x14ac:dyDescent="0.2">
      <c r="A652" s="9"/>
      <c r="B652" s="10"/>
      <c r="C652" s="9"/>
      <c r="D652" s="9"/>
      <c r="E652" s="9"/>
      <c r="F652" s="9"/>
      <c r="G652" s="9"/>
      <c r="H652" s="9"/>
      <c r="I652" s="9" t="s">
        <v>1541</v>
      </c>
      <c r="J652" s="9" t="s">
        <v>110</v>
      </c>
      <c r="K652" s="9" t="s">
        <v>226</v>
      </c>
      <c r="L652" s="9" t="s">
        <v>225</v>
      </c>
      <c r="M652" s="9" t="s">
        <v>226</v>
      </c>
      <c r="N652" s="9"/>
      <c r="O652" s="22" t="s">
        <v>1541</v>
      </c>
      <c r="P652" s="23" t="s">
        <v>110</v>
      </c>
      <c r="Q652" s="23" t="s">
        <v>226</v>
      </c>
      <c r="R652" s="23" t="s">
        <v>225</v>
      </c>
      <c r="S652" s="24" t="s">
        <v>226</v>
      </c>
    </row>
    <row r="653" spans="1:19" ht="15.75" customHeight="1" x14ac:dyDescent="0.2">
      <c r="A653" s="9"/>
      <c r="B653" s="10"/>
      <c r="C653" s="9"/>
      <c r="D653" s="9"/>
      <c r="E653" s="9"/>
      <c r="F653" s="9"/>
      <c r="G653" s="9"/>
      <c r="H653" s="9"/>
      <c r="I653" s="9" t="s">
        <v>1542</v>
      </c>
      <c r="J653" s="9" t="s">
        <v>43</v>
      </c>
      <c r="K653" s="9" t="s">
        <v>225</v>
      </c>
      <c r="L653" s="9" t="s">
        <v>225</v>
      </c>
      <c r="M653" s="9" t="s">
        <v>226</v>
      </c>
      <c r="N653" s="9"/>
      <c r="O653" s="22" t="s">
        <v>1542</v>
      </c>
      <c r="P653" s="23" t="s">
        <v>43</v>
      </c>
      <c r="Q653" s="23" t="s">
        <v>225</v>
      </c>
      <c r="R653" s="23" t="s">
        <v>225</v>
      </c>
      <c r="S653" s="24" t="s">
        <v>226</v>
      </c>
    </row>
    <row r="654" spans="1:19" ht="15.75" customHeight="1" x14ac:dyDescent="0.2">
      <c r="A654" s="9"/>
      <c r="B654" s="10"/>
      <c r="C654" s="9"/>
      <c r="D654" s="9"/>
      <c r="E654" s="9"/>
      <c r="F654" s="9"/>
      <c r="G654" s="9"/>
      <c r="H654" s="9"/>
      <c r="I654" s="9" t="s">
        <v>1543</v>
      </c>
      <c r="J654" s="9" t="s">
        <v>110</v>
      </c>
      <c r="K654" s="9" t="s">
        <v>225</v>
      </c>
      <c r="L654" s="9" t="s">
        <v>225</v>
      </c>
      <c r="M654" s="9" t="s">
        <v>226</v>
      </c>
      <c r="N654" s="9"/>
      <c r="O654" s="22" t="s">
        <v>1543</v>
      </c>
      <c r="P654" s="23" t="s">
        <v>110</v>
      </c>
      <c r="Q654" s="23" t="s">
        <v>225</v>
      </c>
      <c r="R654" s="23" t="s">
        <v>225</v>
      </c>
      <c r="S654" s="24" t="s">
        <v>226</v>
      </c>
    </row>
    <row r="655" spans="1:19" ht="15.75" customHeight="1" x14ac:dyDescent="0.2">
      <c r="A655" s="9"/>
      <c r="B655" s="10"/>
      <c r="C655" s="9"/>
      <c r="D655" s="9"/>
      <c r="E655" s="9"/>
      <c r="F655" s="9"/>
      <c r="G655" s="9"/>
      <c r="H655" s="9"/>
      <c r="I655" s="9" t="s">
        <v>1544</v>
      </c>
      <c r="J655" s="9" t="s">
        <v>43</v>
      </c>
      <c r="K655" s="9" t="s">
        <v>225</v>
      </c>
      <c r="L655" s="9" t="s">
        <v>225</v>
      </c>
      <c r="M655" s="9" t="s">
        <v>226</v>
      </c>
      <c r="N655" s="9"/>
      <c r="O655" s="22" t="s">
        <v>1544</v>
      </c>
      <c r="P655" s="23" t="s">
        <v>43</v>
      </c>
      <c r="Q655" s="23" t="s">
        <v>225</v>
      </c>
      <c r="R655" s="23" t="s">
        <v>225</v>
      </c>
      <c r="S655" s="24" t="s">
        <v>226</v>
      </c>
    </row>
    <row r="656" spans="1:19" ht="15.75" customHeight="1" x14ac:dyDescent="0.2">
      <c r="A656" s="9"/>
      <c r="B656" s="10"/>
      <c r="C656" s="9"/>
      <c r="D656" s="9"/>
      <c r="E656" s="9"/>
      <c r="F656" s="9"/>
      <c r="G656" s="9"/>
      <c r="H656" s="9"/>
      <c r="I656" s="9" t="s">
        <v>1545</v>
      </c>
      <c r="J656" s="9" t="s">
        <v>43</v>
      </c>
      <c r="K656" s="9" t="s">
        <v>225</v>
      </c>
      <c r="L656" s="9" t="s">
        <v>225</v>
      </c>
      <c r="M656" s="9" t="s">
        <v>226</v>
      </c>
      <c r="N656" s="9"/>
      <c r="O656" s="22" t="s">
        <v>1545</v>
      </c>
      <c r="P656" s="23" t="s">
        <v>43</v>
      </c>
      <c r="Q656" s="23" t="s">
        <v>225</v>
      </c>
      <c r="R656" s="23" t="s">
        <v>225</v>
      </c>
      <c r="S656" s="24" t="s">
        <v>226</v>
      </c>
    </row>
    <row r="657" spans="1:19" ht="15.75" customHeight="1" x14ac:dyDescent="0.2">
      <c r="A657" s="9"/>
      <c r="B657" s="10"/>
      <c r="C657" s="9"/>
      <c r="D657" s="9"/>
      <c r="E657" s="9"/>
      <c r="F657" s="9"/>
      <c r="G657" s="9"/>
      <c r="H657" s="9"/>
      <c r="I657" s="9" t="s">
        <v>1546</v>
      </c>
      <c r="J657" s="9" t="s">
        <v>43</v>
      </c>
      <c r="K657" s="9" t="s">
        <v>225</v>
      </c>
      <c r="L657" s="9" t="s">
        <v>225</v>
      </c>
      <c r="M657" s="9" t="s">
        <v>226</v>
      </c>
      <c r="N657" s="9"/>
      <c r="O657" s="22" t="s">
        <v>1546</v>
      </c>
      <c r="P657" s="23" t="s">
        <v>43</v>
      </c>
      <c r="Q657" s="23" t="s">
        <v>225</v>
      </c>
      <c r="R657" s="23" t="s">
        <v>225</v>
      </c>
      <c r="S657" s="24" t="s">
        <v>226</v>
      </c>
    </row>
    <row r="658" spans="1:19" ht="15.75" customHeight="1" x14ac:dyDescent="0.2">
      <c r="A658" s="9"/>
      <c r="B658" s="10"/>
      <c r="C658" s="9"/>
      <c r="D658" s="9"/>
      <c r="E658" s="9"/>
      <c r="F658" s="9"/>
      <c r="G658" s="9"/>
      <c r="H658" s="9"/>
      <c r="I658" s="9" t="s">
        <v>1547</v>
      </c>
      <c r="J658" s="9" t="s">
        <v>43</v>
      </c>
      <c r="K658" s="9" t="s">
        <v>225</v>
      </c>
      <c r="L658" s="9" t="s">
        <v>225</v>
      </c>
      <c r="M658" s="9" t="s">
        <v>226</v>
      </c>
      <c r="N658" s="9"/>
      <c r="O658" s="22" t="s">
        <v>1547</v>
      </c>
      <c r="P658" s="23" t="s">
        <v>43</v>
      </c>
      <c r="Q658" s="23" t="s">
        <v>225</v>
      </c>
      <c r="R658" s="23" t="s">
        <v>225</v>
      </c>
      <c r="S658" s="24" t="s">
        <v>226</v>
      </c>
    </row>
    <row r="659" spans="1:19" ht="15.75" customHeight="1" x14ac:dyDescent="0.2">
      <c r="A659" s="9"/>
      <c r="B659" s="10"/>
      <c r="C659" s="9"/>
      <c r="D659" s="9"/>
      <c r="E659" s="9"/>
      <c r="F659" s="9"/>
      <c r="G659" s="9"/>
      <c r="H659" s="9"/>
      <c r="I659" s="9" t="s">
        <v>1548</v>
      </c>
      <c r="J659" s="9" t="s">
        <v>43</v>
      </c>
      <c r="K659" s="9" t="s">
        <v>226</v>
      </c>
      <c r="L659" s="9" t="s">
        <v>225</v>
      </c>
      <c r="M659" s="9" t="s">
        <v>226</v>
      </c>
      <c r="N659" s="9"/>
      <c r="O659" s="22" t="s">
        <v>1548</v>
      </c>
      <c r="P659" s="23" t="s">
        <v>43</v>
      </c>
      <c r="Q659" s="23" t="s">
        <v>226</v>
      </c>
      <c r="R659" s="23" t="s">
        <v>225</v>
      </c>
      <c r="S659" s="24" t="s">
        <v>226</v>
      </c>
    </row>
    <row r="660" spans="1:19" ht="15.75" customHeight="1" x14ac:dyDescent="0.2">
      <c r="A660" s="9"/>
      <c r="B660" s="10"/>
      <c r="C660" s="9"/>
      <c r="D660" s="9"/>
      <c r="E660" s="9"/>
      <c r="F660" s="9"/>
      <c r="G660" s="9"/>
      <c r="H660" s="9"/>
      <c r="I660" s="9" t="s">
        <v>1549</v>
      </c>
      <c r="J660" s="9" t="s">
        <v>43</v>
      </c>
      <c r="K660" s="9" t="s">
        <v>225</v>
      </c>
      <c r="L660" s="9" t="s">
        <v>225</v>
      </c>
      <c r="M660" s="9" t="s">
        <v>226</v>
      </c>
      <c r="N660" s="9"/>
      <c r="O660" s="22" t="s">
        <v>1549</v>
      </c>
      <c r="P660" s="23" t="s">
        <v>43</v>
      </c>
      <c r="Q660" s="23" t="s">
        <v>225</v>
      </c>
      <c r="R660" s="23" t="s">
        <v>225</v>
      </c>
      <c r="S660" s="24" t="s">
        <v>226</v>
      </c>
    </row>
    <row r="661" spans="1:19" ht="15.75" customHeight="1" x14ac:dyDescent="0.2">
      <c r="A661" s="9"/>
      <c r="B661" s="10"/>
      <c r="C661" s="9"/>
      <c r="D661" s="9"/>
      <c r="E661" s="9"/>
      <c r="F661" s="9"/>
      <c r="G661" s="9"/>
      <c r="H661" s="9"/>
      <c r="I661" s="9"/>
      <c r="J661" s="9"/>
      <c r="K661" s="9"/>
      <c r="L661" s="9"/>
      <c r="M661" s="9"/>
      <c r="N661" s="9"/>
      <c r="O661" s="41" t="s">
        <v>1550</v>
      </c>
      <c r="P661" s="42" t="s">
        <v>43</v>
      </c>
      <c r="Q661" s="42" t="s">
        <v>225</v>
      </c>
      <c r="R661" s="42" t="s">
        <v>225</v>
      </c>
      <c r="S661" s="43" t="s">
        <v>226</v>
      </c>
    </row>
    <row r="662" spans="1:19" ht="15.75" customHeight="1" thickBot="1" x14ac:dyDescent="0.25">
      <c r="A662" s="9"/>
      <c r="B662" s="10"/>
      <c r="C662" s="9"/>
      <c r="D662" s="9"/>
      <c r="E662" s="9"/>
      <c r="F662" s="9"/>
      <c r="G662" s="9"/>
      <c r="H662" s="9"/>
      <c r="I662" s="9" t="s">
        <v>1550</v>
      </c>
      <c r="J662" s="9" t="s">
        <v>43</v>
      </c>
      <c r="K662" s="9" t="s">
        <v>225</v>
      </c>
      <c r="L662" s="9" t="s">
        <v>225</v>
      </c>
      <c r="M662" s="9" t="s">
        <v>226</v>
      </c>
      <c r="N662" s="9"/>
      <c r="O662" s="44" t="s">
        <v>34</v>
      </c>
      <c r="P662" s="45"/>
      <c r="Q662" s="45"/>
      <c r="R662" s="45"/>
      <c r="S662" s="46"/>
    </row>
    <row r="663" spans="1:19" ht="15.75" customHeight="1" x14ac:dyDescent="0.2">
      <c r="A663" s="9"/>
      <c r="B663" s="10"/>
      <c r="C663" s="9"/>
      <c r="D663" s="9"/>
      <c r="E663" s="9"/>
      <c r="F663" s="9"/>
      <c r="G663" s="9"/>
      <c r="H663" s="9"/>
      <c r="I663" s="9"/>
      <c r="J663" s="9"/>
      <c r="K663" s="9"/>
      <c r="L663" s="9"/>
      <c r="M663" s="9"/>
      <c r="N663" s="9"/>
    </row>
    <row r="664" spans="1:19" ht="15.75" customHeight="1" x14ac:dyDescent="0.2">
      <c r="A664" s="9"/>
      <c r="B664" s="10"/>
      <c r="C664" s="9"/>
      <c r="D664" s="9"/>
      <c r="E664" s="9"/>
      <c r="F664" s="9"/>
      <c r="G664" s="9"/>
      <c r="H664" s="9"/>
      <c r="I664" s="9"/>
      <c r="J664" s="9"/>
      <c r="K664" s="9"/>
      <c r="L664" s="9"/>
      <c r="M664" s="9"/>
      <c r="N664" s="9"/>
    </row>
    <row r="665" spans="1:19" ht="15.75" customHeight="1" x14ac:dyDescent="0.2">
      <c r="A665" s="9"/>
      <c r="B665" s="10"/>
      <c r="C665" s="9"/>
      <c r="D665" s="9"/>
      <c r="E665" s="9"/>
      <c r="F665" s="9"/>
      <c r="G665" s="9"/>
      <c r="H665" s="9"/>
      <c r="I665" s="9"/>
      <c r="J665" s="9"/>
      <c r="K665" s="9"/>
      <c r="L665" s="9"/>
      <c r="M665" s="9"/>
      <c r="N665" s="9"/>
    </row>
    <row r="666" spans="1:19" ht="15.75" customHeight="1" x14ac:dyDescent="0.2">
      <c r="A666" s="9"/>
      <c r="B666" s="10"/>
      <c r="C666" s="9"/>
      <c r="D666" s="9"/>
      <c r="E666" s="9"/>
      <c r="F666" s="9"/>
      <c r="G666" s="9"/>
      <c r="H666" s="9"/>
      <c r="I666" s="9"/>
      <c r="J666" s="9"/>
      <c r="K666" s="9"/>
      <c r="L666" s="9"/>
      <c r="M666" s="9"/>
      <c r="N666" s="9"/>
    </row>
    <row r="667" spans="1:19" ht="15.75" customHeight="1" x14ac:dyDescent="0.2">
      <c r="A667" s="9"/>
      <c r="B667" s="10"/>
      <c r="C667" s="9"/>
      <c r="D667" s="9"/>
      <c r="E667" s="9"/>
      <c r="F667" s="9"/>
      <c r="G667" s="9"/>
      <c r="H667" s="9"/>
      <c r="I667" s="9"/>
      <c r="J667" s="9"/>
      <c r="K667" s="9"/>
      <c r="L667" s="9"/>
      <c r="M667" s="9"/>
      <c r="N667" s="9"/>
    </row>
    <row r="668" spans="1:19" ht="15.75" customHeight="1" x14ac:dyDescent="0.2">
      <c r="A668" s="9"/>
      <c r="B668" s="10"/>
      <c r="C668" s="9"/>
      <c r="D668" s="9"/>
      <c r="E668" s="9"/>
      <c r="F668" s="9"/>
      <c r="G668" s="9"/>
      <c r="H668" s="9"/>
      <c r="I668" s="9"/>
      <c r="J668" s="9"/>
      <c r="K668" s="9"/>
      <c r="L668" s="9"/>
      <c r="M668" s="9"/>
      <c r="N668" s="9"/>
    </row>
    <row r="669" spans="1:19" ht="15.75" customHeight="1" x14ac:dyDescent="0.2">
      <c r="A669" s="9"/>
      <c r="B669" s="10"/>
      <c r="C669" s="9"/>
      <c r="D669" s="9"/>
      <c r="E669" s="9"/>
      <c r="F669" s="9"/>
      <c r="G669" s="9"/>
      <c r="H669" s="9"/>
      <c r="I669" s="9"/>
      <c r="J669" s="9"/>
      <c r="K669" s="9"/>
      <c r="L669" s="9"/>
      <c r="M669" s="9"/>
      <c r="N669" s="9"/>
    </row>
    <row r="670" spans="1:19" ht="15.75" customHeight="1" x14ac:dyDescent="0.2">
      <c r="A670" s="9"/>
      <c r="B670" s="10"/>
      <c r="C670" s="9"/>
      <c r="D670" s="9"/>
      <c r="E670" s="9"/>
      <c r="F670" s="9"/>
      <c r="G670" s="9"/>
      <c r="H670" s="9"/>
      <c r="I670" s="9"/>
      <c r="J670" s="9"/>
      <c r="K670" s="9"/>
      <c r="L670" s="9"/>
      <c r="M670" s="9"/>
      <c r="N670" s="9"/>
    </row>
    <row r="671" spans="1:19" ht="15.75" customHeight="1" x14ac:dyDescent="0.2">
      <c r="A671" s="9"/>
      <c r="B671" s="10"/>
      <c r="C671" s="9"/>
      <c r="D671" s="9"/>
      <c r="E671" s="9"/>
      <c r="F671" s="9"/>
      <c r="G671" s="9"/>
      <c r="H671" s="9"/>
      <c r="I671" s="9"/>
      <c r="J671" s="9"/>
      <c r="K671" s="9"/>
      <c r="L671" s="9"/>
      <c r="M671" s="9"/>
      <c r="N671" s="9"/>
    </row>
    <row r="672" spans="1:19" ht="15.75" customHeight="1" x14ac:dyDescent="0.2">
      <c r="A672" s="9"/>
      <c r="B672" s="10"/>
      <c r="C672" s="9"/>
      <c r="D672" s="9"/>
      <c r="E672" s="9"/>
      <c r="F672" s="9"/>
      <c r="G672" s="9"/>
      <c r="H672" s="9"/>
      <c r="I672" s="9"/>
      <c r="J672" s="9"/>
      <c r="K672" s="9"/>
      <c r="L672" s="9"/>
      <c r="M672" s="9"/>
      <c r="N672" s="9"/>
    </row>
    <row r="673" spans="1:14" ht="15.75" customHeight="1" x14ac:dyDescent="0.2">
      <c r="A673" s="9"/>
      <c r="B673" s="10"/>
      <c r="C673" s="9"/>
      <c r="D673" s="9"/>
      <c r="E673" s="9"/>
      <c r="F673" s="9"/>
      <c r="G673" s="9"/>
      <c r="H673" s="9"/>
      <c r="I673" s="9"/>
      <c r="J673" s="9"/>
      <c r="K673" s="9"/>
      <c r="L673" s="9"/>
      <c r="M673" s="9"/>
      <c r="N673" s="9"/>
    </row>
    <row r="674" spans="1:14" ht="15.75" customHeight="1" x14ac:dyDescent="0.2">
      <c r="A674" s="9"/>
      <c r="B674" s="10"/>
      <c r="C674" s="9"/>
      <c r="D674" s="9"/>
      <c r="E674" s="9"/>
      <c r="F674" s="9"/>
      <c r="G674" s="9"/>
      <c r="H674" s="9"/>
      <c r="I674" s="9"/>
      <c r="J674" s="9"/>
      <c r="K674" s="9"/>
      <c r="L674" s="9"/>
      <c r="M674" s="9"/>
      <c r="N674" s="9"/>
    </row>
    <row r="675" spans="1:14" ht="15.75" customHeight="1" x14ac:dyDescent="0.2">
      <c r="A675" s="9"/>
      <c r="B675" s="10"/>
      <c r="C675" s="9"/>
      <c r="D675" s="9"/>
      <c r="E675" s="9"/>
      <c r="F675" s="9"/>
      <c r="G675" s="9"/>
      <c r="H675" s="9"/>
      <c r="I675" s="9"/>
      <c r="J675" s="9"/>
      <c r="K675" s="9"/>
      <c r="L675" s="9"/>
      <c r="M675" s="9"/>
      <c r="N675" s="9"/>
    </row>
    <row r="676" spans="1:14" ht="15.75" customHeight="1" x14ac:dyDescent="0.2">
      <c r="A676" s="9"/>
      <c r="B676" s="10"/>
      <c r="C676" s="9"/>
      <c r="D676" s="9"/>
      <c r="E676" s="9"/>
      <c r="F676" s="9"/>
      <c r="G676" s="9"/>
      <c r="H676" s="9"/>
      <c r="I676" s="9"/>
      <c r="J676" s="9"/>
      <c r="K676" s="9"/>
      <c r="L676" s="9"/>
      <c r="M676" s="9"/>
      <c r="N676" s="9"/>
    </row>
    <row r="677" spans="1:14" ht="15.75" customHeight="1" x14ac:dyDescent="0.2">
      <c r="A677" s="9"/>
      <c r="B677" s="10"/>
      <c r="C677" s="9"/>
      <c r="D677" s="9"/>
      <c r="E677" s="9"/>
      <c r="F677" s="9"/>
      <c r="G677" s="9"/>
      <c r="H677" s="9"/>
      <c r="I677" s="9"/>
      <c r="J677" s="9"/>
      <c r="K677" s="9"/>
      <c r="L677" s="9"/>
      <c r="M677" s="9"/>
      <c r="N677" s="9"/>
    </row>
    <row r="678" spans="1:14" ht="15.75" customHeight="1" x14ac:dyDescent="0.2">
      <c r="A678" s="9"/>
      <c r="B678" s="10"/>
      <c r="C678" s="9"/>
      <c r="D678" s="9"/>
      <c r="E678" s="9"/>
      <c r="F678" s="9"/>
      <c r="G678" s="9"/>
      <c r="H678" s="9"/>
      <c r="I678" s="9"/>
      <c r="J678" s="9"/>
      <c r="K678" s="9"/>
      <c r="L678" s="9"/>
      <c r="M678" s="9"/>
      <c r="N678" s="9"/>
    </row>
    <row r="679" spans="1:14" ht="15.75" customHeight="1" x14ac:dyDescent="0.2">
      <c r="A679" s="9"/>
      <c r="B679" s="10"/>
      <c r="C679" s="9"/>
      <c r="D679" s="9"/>
      <c r="E679" s="9"/>
      <c r="F679" s="9"/>
      <c r="G679" s="9"/>
      <c r="H679" s="9"/>
      <c r="I679" s="9"/>
      <c r="J679" s="9"/>
      <c r="K679" s="9"/>
      <c r="L679" s="9"/>
      <c r="M679" s="9"/>
      <c r="N679" s="9"/>
    </row>
    <row r="680" spans="1:14" ht="15.75" customHeight="1" x14ac:dyDescent="0.2">
      <c r="A680" s="9"/>
      <c r="B680" s="10"/>
      <c r="C680" s="9"/>
      <c r="D680" s="9"/>
      <c r="E680" s="9"/>
      <c r="F680" s="9"/>
      <c r="G680" s="9"/>
      <c r="H680" s="9"/>
      <c r="I680" s="9"/>
      <c r="J680" s="9"/>
      <c r="K680" s="9"/>
      <c r="L680" s="9"/>
      <c r="M680" s="9"/>
      <c r="N680" s="9"/>
    </row>
    <row r="681" spans="1:14" ht="15.75" customHeight="1" x14ac:dyDescent="0.2">
      <c r="A681" s="9"/>
      <c r="B681" s="10"/>
      <c r="C681" s="9"/>
      <c r="D681" s="9"/>
      <c r="E681" s="9"/>
      <c r="F681" s="9"/>
      <c r="G681" s="9"/>
      <c r="H681" s="9"/>
      <c r="I681" s="9"/>
      <c r="J681" s="9"/>
      <c r="K681" s="9"/>
      <c r="L681" s="9"/>
      <c r="M681" s="9"/>
      <c r="N681" s="9"/>
    </row>
    <row r="682" spans="1:14" ht="15.75" customHeight="1" x14ac:dyDescent="0.2">
      <c r="A682" s="9"/>
      <c r="B682" s="10"/>
      <c r="C682" s="9"/>
      <c r="D682" s="9"/>
      <c r="E682" s="9"/>
      <c r="F682" s="9"/>
      <c r="G682" s="9"/>
      <c r="H682" s="9"/>
      <c r="I682" s="9"/>
      <c r="J682" s="9"/>
      <c r="K682" s="9"/>
      <c r="L682" s="9"/>
      <c r="M682" s="9"/>
      <c r="N682" s="9"/>
    </row>
    <row r="683" spans="1:14" ht="15.75" customHeight="1" x14ac:dyDescent="0.2">
      <c r="A683" s="9"/>
      <c r="B683" s="10"/>
      <c r="C683" s="9"/>
      <c r="D683" s="9"/>
      <c r="E683" s="9"/>
      <c r="F683" s="9"/>
      <c r="G683" s="9"/>
      <c r="H683" s="9"/>
      <c r="I683" s="9"/>
      <c r="J683" s="9"/>
      <c r="K683" s="9"/>
      <c r="L683" s="9"/>
      <c r="M683" s="9"/>
      <c r="N683" s="9"/>
    </row>
    <row r="684" spans="1:14" ht="15.75" customHeight="1" x14ac:dyDescent="0.2">
      <c r="A684" s="9"/>
      <c r="B684" s="10"/>
      <c r="C684" s="9"/>
      <c r="D684" s="9"/>
      <c r="E684" s="9"/>
      <c r="F684" s="9"/>
      <c r="G684" s="9"/>
      <c r="H684" s="9"/>
      <c r="I684" s="9"/>
      <c r="J684" s="9"/>
      <c r="K684" s="9"/>
      <c r="L684" s="9"/>
      <c r="M684" s="9"/>
      <c r="N684" s="9"/>
    </row>
    <row r="685" spans="1:14" ht="15.75" customHeight="1" x14ac:dyDescent="0.2">
      <c r="A685" s="9"/>
      <c r="B685" s="10"/>
      <c r="C685" s="9"/>
      <c r="D685" s="9"/>
      <c r="E685" s="9"/>
      <c r="F685" s="9"/>
      <c r="G685" s="9"/>
      <c r="H685" s="9"/>
      <c r="I685" s="9"/>
      <c r="J685" s="9"/>
      <c r="K685" s="9"/>
      <c r="L685" s="9"/>
      <c r="M685" s="9"/>
      <c r="N685" s="9"/>
    </row>
    <row r="686" spans="1:14" ht="15.75" customHeight="1" x14ac:dyDescent="0.2">
      <c r="A686" s="9"/>
      <c r="B686" s="10"/>
      <c r="C686" s="9"/>
      <c r="D686" s="9"/>
      <c r="E686" s="9"/>
      <c r="F686" s="9"/>
      <c r="G686" s="9"/>
      <c r="H686" s="9"/>
      <c r="I686" s="9"/>
      <c r="J686" s="9"/>
      <c r="K686" s="9"/>
      <c r="L686" s="9"/>
      <c r="M686" s="9"/>
      <c r="N686" s="9"/>
    </row>
    <row r="687" spans="1:14" ht="15.75" customHeight="1" x14ac:dyDescent="0.2">
      <c r="A687" s="9"/>
      <c r="B687" s="10"/>
      <c r="C687" s="9"/>
      <c r="D687" s="9"/>
      <c r="E687" s="9"/>
      <c r="F687" s="9"/>
      <c r="G687" s="9"/>
      <c r="H687" s="9"/>
      <c r="I687" s="9"/>
      <c r="J687" s="9"/>
      <c r="K687" s="9"/>
      <c r="L687" s="9"/>
      <c r="M687" s="9"/>
      <c r="N687" s="9"/>
    </row>
    <row r="688" spans="1:14" ht="15.75" customHeight="1" x14ac:dyDescent="0.2">
      <c r="A688" s="9"/>
      <c r="B688" s="10"/>
      <c r="C688" s="9"/>
      <c r="D688" s="9"/>
      <c r="E688" s="9"/>
      <c r="F688" s="9"/>
      <c r="G688" s="9"/>
      <c r="H688" s="9"/>
      <c r="I688" s="9"/>
      <c r="J688" s="9"/>
      <c r="K688" s="9"/>
      <c r="L688" s="9"/>
      <c r="M688" s="9"/>
      <c r="N688" s="9"/>
    </row>
    <row r="689" spans="1:14" ht="15.75" customHeight="1" x14ac:dyDescent="0.2">
      <c r="A689" s="9"/>
      <c r="B689" s="10"/>
      <c r="C689" s="9"/>
      <c r="D689" s="9"/>
      <c r="E689" s="9"/>
      <c r="F689" s="9"/>
      <c r="G689" s="9"/>
      <c r="H689" s="9"/>
      <c r="I689" s="9"/>
      <c r="J689" s="9"/>
      <c r="K689" s="9"/>
      <c r="L689" s="9"/>
      <c r="M689" s="9"/>
      <c r="N689" s="9"/>
    </row>
    <row r="690" spans="1:14" ht="15.75" customHeight="1" x14ac:dyDescent="0.2">
      <c r="A690" s="9"/>
      <c r="B690" s="10"/>
      <c r="C690" s="9"/>
      <c r="D690" s="9"/>
      <c r="E690" s="9"/>
      <c r="F690" s="9"/>
      <c r="G690" s="9"/>
      <c r="H690" s="9"/>
      <c r="I690" s="9"/>
      <c r="J690" s="9"/>
      <c r="K690" s="9"/>
      <c r="L690" s="9"/>
      <c r="M690" s="9"/>
      <c r="N690" s="9"/>
    </row>
    <row r="691" spans="1:14" ht="15.75" customHeight="1" x14ac:dyDescent="0.2">
      <c r="A691" s="9"/>
      <c r="B691" s="10"/>
      <c r="C691" s="9"/>
      <c r="D691" s="9"/>
      <c r="E691" s="9"/>
      <c r="F691" s="9"/>
      <c r="G691" s="9"/>
      <c r="H691" s="9"/>
      <c r="I691" s="9"/>
      <c r="J691" s="9"/>
      <c r="K691" s="9"/>
      <c r="L691" s="9"/>
      <c r="M691" s="9"/>
      <c r="N691" s="9"/>
    </row>
    <row r="692" spans="1:14" ht="15.75" customHeight="1" x14ac:dyDescent="0.2">
      <c r="A692" s="9"/>
      <c r="B692" s="10"/>
      <c r="C692" s="9"/>
      <c r="D692" s="9"/>
      <c r="E692" s="9"/>
      <c r="F692" s="9"/>
      <c r="G692" s="9"/>
      <c r="H692" s="9"/>
      <c r="I692" s="9"/>
      <c r="J692" s="9"/>
      <c r="K692" s="9"/>
      <c r="L692" s="9"/>
      <c r="M692" s="9"/>
      <c r="N692" s="9"/>
    </row>
    <row r="693" spans="1:14" ht="15.75" customHeight="1" x14ac:dyDescent="0.2">
      <c r="A693" s="9"/>
      <c r="B693" s="10"/>
      <c r="C693" s="9"/>
      <c r="D693" s="9"/>
      <c r="E693" s="9"/>
      <c r="F693" s="9"/>
      <c r="G693" s="9"/>
      <c r="H693" s="9"/>
      <c r="I693" s="9"/>
      <c r="J693" s="9"/>
      <c r="K693" s="9"/>
      <c r="L693" s="9"/>
      <c r="M693" s="9"/>
      <c r="N693" s="9"/>
    </row>
    <row r="694" spans="1:14" ht="15.75" customHeight="1" x14ac:dyDescent="0.2">
      <c r="A694" s="9"/>
      <c r="B694" s="10"/>
      <c r="C694" s="9"/>
      <c r="D694" s="9"/>
      <c r="E694" s="9"/>
      <c r="F694" s="9"/>
      <c r="G694" s="9"/>
      <c r="H694" s="9"/>
      <c r="I694" s="9"/>
      <c r="J694" s="9"/>
      <c r="K694" s="9"/>
      <c r="L694" s="9"/>
      <c r="M694" s="9"/>
      <c r="N694" s="9"/>
    </row>
    <row r="695" spans="1:14" ht="15.75" customHeight="1" x14ac:dyDescent="0.2">
      <c r="A695" s="9"/>
      <c r="B695" s="10"/>
      <c r="C695" s="9"/>
      <c r="D695" s="9"/>
      <c r="E695" s="9"/>
      <c r="F695" s="9"/>
      <c r="G695" s="9"/>
      <c r="H695" s="9"/>
      <c r="I695" s="9"/>
      <c r="J695" s="9"/>
      <c r="K695" s="9"/>
      <c r="L695" s="9"/>
      <c r="M695" s="9"/>
      <c r="N695" s="9"/>
    </row>
    <row r="696" spans="1:14" ht="15.75" customHeight="1" x14ac:dyDescent="0.2">
      <c r="A696" s="9"/>
      <c r="B696" s="10"/>
      <c r="C696" s="9"/>
      <c r="D696" s="9"/>
      <c r="E696" s="9"/>
      <c r="F696" s="9"/>
      <c r="G696" s="9"/>
      <c r="H696" s="9"/>
      <c r="I696" s="9"/>
      <c r="J696" s="9"/>
      <c r="K696" s="9"/>
      <c r="L696" s="9"/>
      <c r="M696" s="9"/>
      <c r="N696" s="9"/>
    </row>
    <row r="697" spans="1:14" ht="15.75" customHeight="1" x14ac:dyDescent="0.2">
      <c r="A697" s="9"/>
      <c r="B697" s="10"/>
      <c r="C697" s="9"/>
      <c r="D697" s="9"/>
      <c r="E697" s="9"/>
      <c r="F697" s="9"/>
      <c r="G697" s="9"/>
      <c r="H697" s="9"/>
      <c r="I697" s="9"/>
      <c r="J697" s="9"/>
      <c r="K697" s="9"/>
      <c r="L697" s="9"/>
      <c r="M697" s="9"/>
      <c r="N697" s="9"/>
    </row>
    <row r="698" spans="1:14" ht="15.75" customHeight="1" x14ac:dyDescent="0.2">
      <c r="A698" s="9"/>
      <c r="B698" s="10"/>
      <c r="C698" s="9"/>
      <c r="D698" s="9"/>
      <c r="E698" s="9"/>
      <c r="F698" s="9"/>
      <c r="G698" s="9"/>
      <c r="H698" s="9"/>
      <c r="I698" s="9"/>
      <c r="J698" s="9"/>
      <c r="K698" s="9"/>
      <c r="L698" s="9"/>
      <c r="M698" s="9"/>
      <c r="N698" s="9"/>
    </row>
    <row r="699" spans="1:14" ht="15.75" customHeight="1" x14ac:dyDescent="0.2">
      <c r="A699" s="9"/>
      <c r="B699" s="10"/>
      <c r="C699" s="9"/>
      <c r="D699" s="9"/>
      <c r="E699" s="9"/>
      <c r="F699" s="9"/>
      <c r="G699" s="9"/>
      <c r="H699" s="9"/>
      <c r="I699" s="9"/>
      <c r="J699" s="9"/>
      <c r="K699" s="9"/>
      <c r="L699" s="9"/>
      <c r="M699" s="9"/>
      <c r="N699" s="9"/>
    </row>
    <row r="700" spans="1:14" ht="15.75" customHeight="1" x14ac:dyDescent="0.2">
      <c r="A700" s="9"/>
      <c r="B700" s="10"/>
      <c r="C700" s="9"/>
      <c r="D700" s="9"/>
      <c r="E700" s="9"/>
      <c r="F700" s="9"/>
      <c r="G700" s="9"/>
      <c r="H700" s="9"/>
      <c r="I700" s="9"/>
      <c r="J700" s="9"/>
      <c r="K700" s="9"/>
      <c r="L700" s="9"/>
      <c r="M700" s="9"/>
      <c r="N700" s="9"/>
    </row>
    <row r="701" spans="1:14" ht="15.75" customHeight="1" x14ac:dyDescent="0.2">
      <c r="A701" s="9"/>
      <c r="B701" s="10"/>
      <c r="C701" s="9"/>
      <c r="D701" s="9"/>
      <c r="E701" s="9"/>
      <c r="F701" s="9"/>
      <c r="G701" s="9"/>
      <c r="H701" s="9"/>
      <c r="I701" s="9"/>
      <c r="J701" s="9"/>
      <c r="K701" s="9"/>
      <c r="L701" s="9"/>
      <c r="M701" s="9"/>
      <c r="N701" s="9"/>
    </row>
    <row r="702" spans="1:14" ht="15.75" customHeight="1" x14ac:dyDescent="0.2">
      <c r="A702" s="9"/>
      <c r="B702" s="10"/>
      <c r="C702" s="9"/>
      <c r="D702" s="9"/>
      <c r="E702" s="9"/>
      <c r="F702" s="9"/>
      <c r="G702" s="9"/>
      <c r="H702" s="9"/>
      <c r="I702" s="9"/>
      <c r="J702" s="9"/>
      <c r="K702" s="9"/>
      <c r="L702" s="9"/>
      <c r="M702" s="9"/>
      <c r="N702" s="9"/>
    </row>
    <row r="703" spans="1:14" ht="15.75" customHeight="1" x14ac:dyDescent="0.2">
      <c r="A703" s="9"/>
      <c r="B703" s="10"/>
      <c r="C703" s="9"/>
      <c r="D703" s="9"/>
      <c r="E703" s="9"/>
      <c r="F703" s="9"/>
      <c r="G703" s="9"/>
      <c r="H703" s="9"/>
      <c r="I703" s="9"/>
      <c r="J703" s="9"/>
      <c r="K703" s="9"/>
      <c r="L703" s="9"/>
      <c r="M703" s="9"/>
      <c r="N703" s="9"/>
    </row>
    <row r="704" spans="1:14" ht="15.75" customHeight="1" x14ac:dyDescent="0.2">
      <c r="A704" s="9"/>
      <c r="B704" s="10"/>
      <c r="C704" s="9"/>
      <c r="D704" s="9"/>
      <c r="E704" s="9"/>
      <c r="F704" s="9"/>
      <c r="G704" s="9"/>
      <c r="H704" s="9"/>
      <c r="I704" s="9"/>
      <c r="J704" s="9"/>
      <c r="K704" s="9"/>
      <c r="L704" s="9"/>
      <c r="M704" s="9"/>
      <c r="N704" s="9"/>
    </row>
    <row r="705" spans="1:14" ht="15.75" customHeight="1" x14ac:dyDescent="0.2">
      <c r="A705" s="9"/>
      <c r="B705" s="10"/>
      <c r="C705" s="9"/>
      <c r="D705" s="9"/>
      <c r="E705" s="9"/>
      <c r="F705" s="9"/>
      <c r="G705" s="9"/>
      <c r="H705" s="9"/>
      <c r="I705" s="9"/>
      <c r="J705" s="9"/>
      <c r="K705" s="9"/>
      <c r="L705" s="9"/>
      <c r="M705" s="9"/>
      <c r="N705" s="9"/>
    </row>
    <row r="706" spans="1:14" ht="15.75" customHeight="1" x14ac:dyDescent="0.2">
      <c r="A706" s="9"/>
      <c r="B706" s="10"/>
      <c r="C706" s="9"/>
      <c r="D706" s="9"/>
      <c r="E706" s="9"/>
      <c r="F706" s="9"/>
      <c r="G706" s="9"/>
      <c r="H706" s="9"/>
      <c r="I706" s="9"/>
      <c r="J706" s="9"/>
      <c r="K706" s="9"/>
      <c r="L706" s="9"/>
      <c r="M706" s="9"/>
      <c r="N706" s="9"/>
    </row>
    <row r="707" spans="1:14" ht="15.75" customHeight="1" x14ac:dyDescent="0.2">
      <c r="A707" s="9"/>
      <c r="B707" s="10"/>
      <c r="C707" s="9"/>
      <c r="D707" s="9"/>
      <c r="E707" s="9"/>
      <c r="F707" s="9"/>
      <c r="G707" s="9"/>
      <c r="H707" s="9"/>
      <c r="I707" s="9"/>
      <c r="J707" s="9"/>
      <c r="K707" s="9"/>
      <c r="L707" s="9"/>
      <c r="M707" s="9"/>
      <c r="N707" s="9"/>
    </row>
    <row r="708" spans="1:14" ht="15.75" customHeight="1" x14ac:dyDescent="0.2">
      <c r="A708" s="9"/>
      <c r="B708" s="10"/>
      <c r="C708" s="9"/>
      <c r="D708" s="9"/>
      <c r="E708" s="9"/>
      <c r="F708" s="9"/>
      <c r="G708" s="9"/>
      <c r="H708" s="9"/>
      <c r="I708" s="9"/>
      <c r="J708" s="9"/>
      <c r="K708" s="9"/>
      <c r="L708" s="9"/>
      <c r="M708" s="9"/>
      <c r="N708" s="9"/>
    </row>
    <row r="709" spans="1:14" ht="15.75" customHeight="1" x14ac:dyDescent="0.2">
      <c r="A709" s="9"/>
      <c r="B709" s="10"/>
      <c r="C709" s="9"/>
      <c r="D709" s="9"/>
      <c r="E709" s="9"/>
      <c r="F709" s="9"/>
      <c r="G709" s="9"/>
      <c r="H709" s="9"/>
      <c r="I709" s="9"/>
      <c r="J709" s="9"/>
      <c r="K709" s="9"/>
      <c r="L709" s="9"/>
      <c r="M709" s="9"/>
      <c r="N709" s="9"/>
    </row>
    <row r="710" spans="1:14" ht="15.75" customHeight="1" x14ac:dyDescent="0.2">
      <c r="A710" s="9"/>
      <c r="B710" s="10"/>
      <c r="C710" s="9"/>
      <c r="D710" s="9"/>
      <c r="E710" s="9"/>
      <c r="F710" s="9"/>
      <c r="G710" s="9"/>
      <c r="H710" s="9"/>
      <c r="I710" s="9"/>
      <c r="J710" s="9"/>
      <c r="K710" s="9"/>
      <c r="L710" s="9"/>
      <c r="M710" s="9"/>
      <c r="N710" s="9"/>
    </row>
    <row r="711" spans="1:14" ht="15.75" customHeight="1" x14ac:dyDescent="0.2">
      <c r="A711" s="9"/>
      <c r="B711" s="10"/>
      <c r="C711" s="9"/>
      <c r="D711" s="9"/>
      <c r="E711" s="9"/>
      <c r="F711" s="9"/>
      <c r="G711" s="9"/>
      <c r="H711" s="9"/>
      <c r="I711" s="9"/>
      <c r="J711" s="9"/>
      <c r="K711" s="9"/>
      <c r="L711" s="9"/>
      <c r="M711" s="9"/>
      <c r="N711" s="9"/>
    </row>
    <row r="712" spans="1:14" ht="15.75" customHeight="1" x14ac:dyDescent="0.2">
      <c r="A712" s="9"/>
      <c r="B712" s="10"/>
      <c r="C712" s="9"/>
      <c r="D712" s="9"/>
      <c r="E712" s="9"/>
      <c r="F712" s="9"/>
      <c r="G712" s="9"/>
      <c r="H712" s="9"/>
      <c r="I712" s="9"/>
      <c r="J712" s="9"/>
      <c r="K712" s="9"/>
      <c r="L712" s="9"/>
      <c r="M712" s="9"/>
      <c r="N712" s="9"/>
    </row>
    <row r="713" spans="1:14" ht="15.75" customHeight="1" x14ac:dyDescent="0.2">
      <c r="A713" s="9"/>
      <c r="B713" s="10"/>
      <c r="C713" s="9"/>
      <c r="D713" s="9"/>
      <c r="E713" s="9"/>
      <c r="F713" s="9"/>
      <c r="G713" s="9"/>
      <c r="H713" s="9"/>
      <c r="I713" s="9"/>
      <c r="J713" s="9"/>
      <c r="K713" s="9"/>
      <c r="L713" s="9"/>
      <c r="M713" s="9"/>
      <c r="N713" s="9"/>
    </row>
    <row r="714" spans="1:14" ht="15.75" customHeight="1" x14ac:dyDescent="0.2">
      <c r="A714" s="9"/>
      <c r="B714" s="10"/>
      <c r="C714" s="9"/>
      <c r="D714" s="9"/>
      <c r="E714" s="9"/>
      <c r="F714" s="9"/>
      <c r="G714" s="9"/>
      <c r="H714" s="9"/>
      <c r="I714" s="9"/>
      <c r="J714" s="9"/>
      <c r="K714" s="9"/>
      <c r="L714" s="9"/>
      <c r="M714" s="9"/>
      <c r="N714" s="9"/>
    </row>
    <row r="715" spans="1:14" ht="15.75" customHeight="1" x14ac:dyDescent="0.2">
      <c r="A715" s="9"/>
      <c r="B715" s="10"/>
      <c r="C715" s="9"/>
      <c r="D715" s="9"/>
      <c r="E715" s="9"/>
      <c r="F715" s="9"/>
      <c r="G715" s="9"/>
      <c r="H715" s="9"/>
      <c r="I715" s="9"/>
      <c r="J715" s="9"/>
      <c r="K715" s="9"/>
      <c r="L715" s="9"/>
      <c r="M715" s="9"/>
      <c r="N715" s="9"/>
    </row>
    <row r="716" spans="1:14" ht="15.75" customHeight="1" x14ac:dyDescent="0.2">
      <c r="A716" s="9"/>
      <c r="B716" s="10"/>
      <c r="C716" s="9"/>
      <c r="D716" s="9"/>
      <c r="E716" s="9"/>
      <c r="F716" s="9"/>
      <c r="G716" s="9"/>
      <c r="H716" s="9"/>
      <c r="I716" s="9"/>
      <c r="J716" s="9"/>
      <c r="K716" s="9"/>
      <c r="L716" s="9"/>
      <c r="M716" s="9"/>
      <c r="N716" s="9"/>
    </row>
    <row r="717" spans="1:14" ht="15.75" customHeight="1" x14ac:dyDescent="0.2">
      <c r="A717" s="9"/>
      <c r="B717" s="10"/>
      <c r="C717" s="9"/>
      <c r="D717" s="9"/>
      <c r="E717" s="9"/>
      <c r="F717" s="9"/>
      <c r="G717" s="9"/>
      <c r="H717" s="9"/>
      <c r="I717" s="9"/>
      <c r="J717" s="9"/>
      <c r="K717" s="9"/>
      <c r="L717" s="9"/>
      <c r="M717" s="9"/>
      <c r="N717" s="9"/>
    </row>
    <row r="718" spans="1:14" ht="15.75" customHeight="1" x14ac:dyDescent="0.2">
      <c r="A718" s="9"/>
      <c r="B718" s="10"/>
      <c r="C718" s="9"/>
      <c r="D718" s="9"/>
      <c r="E718" s="9"/>
      <c r="F718" s="9"/>
      <c r="G718" s="9"/>
      <c r="H718" s="9"/>
      <c r="I718" s="9"/>
      <c r="J718" s="9"/>
      <c r="K718" s="9"/>
      <c r="L718" s="9"/>
      <c r="M718" s="9"/>
      <c r="N718" s="9"/>
    </row>
    <row r="719" spans="1:14" ht="15.75" customHeight="1" x14ac:dyDescent="0.2">
      <c r="A719" s="9"/>
      <c r="B719" s="10"/>
      <c r="C719" s="9"/>
      <c r="D719" s="9"/>
      <c r="E719" s="9"/>
      <c r="F719" s="9"/>
      <c r="G719" s="9"/>
      <c r="H719" s="9"/>
      <c r="I719" s="9"/>
      <c r="J719" s="9"/>
      <c r="K719" s="9"/>
      <c r="L719" s="9"/>
      <c r="M719" s="9"/>
      <c r="N719" s="9"/>
    </row>
    <row r="720" spans="1:14" ht="15.75" customHeight="1" x14ac:dyDescent="0.2">
      <c r="A720" s="9"/>
      <c r="B720" s="10"/>
      <c r="C720" s="9"/>
      <c r="D720" s="9"/>
      <c r="E720" s="9"/>
      <c r="F720" s="9"/>
      <c r="G720" s="9"/>
      <c r="H720" s="9"/>
      <c r="I720" s="9"/>
      <c r="J720" s="9"/>
      <c r="K720" s="9"/>
      <c r="L720" s="9"/>
      <c r="M720" s="9"/>
      <c r="N720" s="9"/>
    </row>
    <row r="721" spans="1:14" ht="15.75" customHeight="1" x14ac:dyDescent="0.2">
      <c r="A721" s="9"/>
      <c r="B721" s="10"/>
      <c r="C721" s="9"/>
      <c r="D721" s="9"/>
      <c r="E721" s="9"/>
      <c r="F721" s="9"/>
      <c r="G721" s="9"/>
      <c r="H721" s="9"/>
      <c r="I721" s="9"/>
      <c r="J721" s="9"/>
      <c r="K721" s="9"/>
      <c r="L721" s="9"/>
      <c r="M721" s="9"/>
      <c r="N721" s="9"/>
    </row>
    <row r="722" spans="1:14" ht="15.75" customHeight="1" x14ac:dyDescent="0.2">
      <c r="A722" s="9"/>
      <c r="B722" s="10"/>
      <c r="C722" s="9"/>
      <c r="D722" s="9"/>
      <c r="E722" s="9"/>
      <c r="F722" s="9"/>
      <c r="G722" s="9"/>
      <c r="H722" s="9"/>
      <c r="I722" s="9"/>
      <c r="J722" s="9"/>
      <c r="K722" s="9"/>
      <c r="L722" s="9"/>
      <c r="M722" s="9"/>
      <c r="N722" s="9"/>
    </row>
    <row r="723" spans="1:14" ht="15.75" customHeight="1" x14ac:dyDescent="0.2">
      <c r="A723" s="9"/>
      <c r="B723" s="10"/>
      <c r="C723" s="9"/>
      <c r="D723" s="9"/>
      <c r="E723" s="9"/>
      <c r="F723" s="9"/>
      <c r="G723" s="9"/>
      <c r="H723" s="9"/>
      <c r="I723" s="9"/>
      <c r="J723" s="9"/>
      <c r="K723" s="9"/>
      <c r="L723" s="9"/>
      <c r="M723" s="9"/>
      <c r="N723" s="9"/>
    </row>
    <row r="724" spans="1:14" ht="15.75" customHeight="1" x14ac:dyDescent="0.2">
      <c r="A724" s="9"/>
      <c r="B724" s="10"/>
      <c r="C724" s="9"/>
      <c r="D724" s="9"/>
      <c r="E724" s="9"/>
      <c r="F724" s="9"/>
      <c r="G724" s="9"/>
      <c r="H724" s="9"/>
      <c r="I724" s="9"/>
      <c r="J724" s="9"/>
      <c r="K724" s="9"/>
      <c r="L724" s="9"/>
      <c r="M724" s="9"/>
      <c r="N724" s="9"/>
    </row>
    <row r="725" spans="1:14" ht="15.75" customHeight="1" x14ac:dyDescent="0.2">
      <c r="A725" s="9"/>
      <c r="B725" s="10"/>
      <c r="C725" s="9"/>
      <c r="D725" s="9"/>
      <c r="E725" s="9"/>
      <c r="F725" s="9"/>
      <c r="G725" s="9"/>
      <c r="H725" s="9"/>
      <c r="I725" s="9"/>
      <c r="J725" s="9"/>
      <c r="K725" s="9"/>
      <c r="L725" s="9"/>
      <c r="M725" s="9"/>
      <c r="N725" s="9"/>
    </row>
    <row r="726" spans="1:14" ht="15.75" customHeight="1" x14ac:dyDescent="0.2">
      <c r="A726" s="9"/>
      <c r="B726" s="10"/>
      <c r="C726" s="9"/>
      <c r="D726" s="9"/>
      <c r="E726" s="9"/>
      <c r="F726" s="9"/>
      <c r="G726" s="9"/>
      <c r="H726" s="9"/>
      <c r="I726" s="9"/>
      <c r="J726" s="9"/>
      <c r="K726" s="9"/>
      <c r="L726" s="9"/>
      <c r="M726" s="9"/>
      <c r="N726" s="9"/>
    </row>
    <row r="727" spans="1:14" ht="15.75" customHeight="1" x14ac:dyDescent="0.2">
      <c r="A727" s="9"/>
      <c r="B727" s="10"/>
      <c r="C727" s="9"/>
      <c r="D727" s="9"/>
      <c r="E727" s="9"/>
      <c r="F727" s="9"/>
      <c r="G727" s="9"/>
      <c r="H727" s="9"/>
      <c r="I727" s="9"/>
      <c r="J727" s="9"/>
      <c r="K727" s="9"/>
      <c r="L727" s="9"/>
      <c r="M727" s="9"/>
      <c r="N727" s="9"/>
    </row>
    <row r="728" spans="1:14" ht="15.75" customHeight="1" x14ac:dyDescent="0.2">
      <c r="A728" s="9"/>
      <c r="B728" s="10"/>
      <c r="C728" s="9"/>
      <c r="D728" s="9"/>
      <c r="E728" s="9"/>
      <c r="F728" s="9"/>
      <c r="G728" s="9"/>
      <c r="H728" s="9"/>
      <c r="I728" s="9"/>
      <c r="J728" s="9"/>
      <c r="K728" s="9"/>
      <c r="L728" s="9"/>
      <c r="M728" s="9"/>
      <c r="N728" s="9"/>
    </row>
    <row r="729" spans="1:14" ht="15.75" customHeight="1" x14ac:dyDescent="0.2">
      <c r="A729" s="9"/>
      <c r="B729" s="10"/>
      <c r="C729" s="9"/>
      <c r="D729" s="9"/>
      <c r="E729" s="9"/>
      <c r="F729" s="9"/>
      <c r="G729" s="9"/>
      <c r="H729" s="9"/>
      <c r="I729" s="9"/>
      <c r="J729" s="9"/>
      <c r="K729" s="9"/>
      <c r="L729" s="9"/>
      <c r="M729" s="9"/>
      <c r="N729" s="9"/>
    </row>
    <row r="730" spans="1:14" ht="15.75" customHeight="1" x14ac:dyDescent="0.2">
      <c r="A730" s="9"/>
      <c r="B730" s="10"/>
      <c r="C730" s="9"/>
      <c r="D730" s="9"/>
      <c r="E730" s="9"/>
      <c r="F730" s="9"/>
      <c r="G730" s="9"/>
      <c r="H730" s="9"/>
      <c r="I730" s="9"/>
      <c r="J730" s="9"/>
      <c r="K730" s="9"/>
      <c r="L730" s="9"/>
      <c r="M730" s="9"/>
      <c r="N730" s="9"/>
    </row>
    <row r="731" spans="1:14" ht="15.75" customHeight="1" x14ac:dyDescent="0.2">
      <c r="A731" s="9"/>
      <c r="B731" s="10"/>
      <c r="C731" s="9"/>
      <c r="D731" s="9"/>
      <c r="E731" s="9"/>
      <c r="F731" s="9"/>
      <c r="G731" s="9"/>
      <c r="H731" s="9"/>
      <c r="I731" s="9"/>
      <c r="J731" s="9"/>
      <c r="K731" s="9"/>
      <c r="L731" s="9"/>
      <c r="M731" s="9"/>
      <c r="N731" s="9"/>
    </row>
    <row r="732" spans="1:14" ht="15.75" customHeight="1" x14ac:dyDescent="0.2">
      <c r="A732" s="9"/>
      <c r="B732" s="10"/>
      <c r="C732" s="9"/>
      <c r="D732" s="9"/>
      <c r="E732" s="9"/>
      <c r="F732" s="9"/>
      <c r="G732" s="9"/>
      <c r="H732" s="9"/>
      <c r="I732" s="9"/>
      <c r="J732" s="9"/>
      <c r="K732" s="9"/>
      <c r="L732" s="9"/>
      <c r="M732" s="9"/>
      <c r="N732" s="9"/>
    </row>
    <row r="733" spans="1:14" ht="15.75" customHeight="1" x14ac:dyDescent="0.2">
      <c r="A733" s="9"/>
      <c r="B733" s="10"/>
      <c r="C733" s="9"/>
      <c r="D733" s="9"/>
      <c r="E733" s="9"/>
      <c r="F733" s="9"/>
      <c r="G733" s="9"/>
      <c r="H733" s="9"/>
      <c r="I733" s="9"/>
      <c r="J733" s="9"/>
      <c r="K733" s="9"/>
      <c r="L733" s="9"/>
      <c r="M733" s="9"/>
      <c r="N733" s="9"/>
    </row>
    <row r="734" spans="1:14" ht="15.75" customHeight="1" x14ac:dyDescent="0.2">
      <c r="A734" s="9"/>
      <c r="B734" s="10"/>
      <c r="C734" s="9"/>
      <c r="D734" s="9"/>
      <c r="E734" s="9"/>
      <c r="F734" s="9"/>
      <c r="G734" s="9"/>
      <c r="H734" s="9"/>
      <c r="I734" s="9"/>
      <c r="J734" s="9"/>
      <c r="K734" s="9"/>
      <c r="L734" s="9"/>
      <c r="M734" s="9"/>
      <c r="N734" s="9"/>
    </row>
    <row r="735" spans="1:14" ht="15.75" customHeight="1" x14ac:dyDescent="0.2">
      <c r="A735" s="9"/>
      <c r="B735" s="10"/>
      <c r="C735" s="9"/>
      <c r="D735" s="9"/>
      <c r="E735" s="9"/>
      <c r="F735" s="9"/>
      <c r="G735" s="9"/>
      <c r="H735" s="9"/>
      <c r="I735" s="9"/>
      <c r="J735" s="9"/>
      <c r="K735" s="9"/>
      <c r="L735" s="9"/>
      <c r="M735" s="9"/>
      <c r="N735" s="9"/>
    </row>
    <row r="736" spans="1:14" ht="15.75" customHeight="1" x14ac:dyDescent="0.2">
      <c r="A736" s="9"/>
      <c r="B736" s="10"/>
      <c r="C736" s="9"/>
      <c r="D736" s="9"/>
      <c r="E736" s="9"/>
      <c r="F736" s="9"/>
      <c r="G736" s="9"/>
      <c r="H736" s="9"/>
      <c r="I736" s="9"/>
      <c r="J736" s="9"/>
      <c r="K736" s="9"/>
      <c r="L736" s="9"/>
      <c r="M736" s="9"/>
      <c r="N736" s="9"/>
    </row>
    <row r="737" spans="1:14" ht="15.75" customHeight="1" x14ac:dyDescent="0.2">
      <c r="A737" s="9"/>
      <c r="B737" s="10"/>
      <c r="C737" s="9"/>
      <c r="D737" s="9"/>
      <c r="E737" s="9"/>
      <c r="F737" s="9"/>
      <c r="G737" s="9"/>
      <c r="H737" s="9"/>
      <c r="I737" s="9"/>
      <c r="J737" s="9"/>
      <c r="K737" s="9"/>
      <c r="L737" s="9"/>
      <c r="M737" s="9"/>
      <c r="N737" s="9"/>
    </row>
    <row r="738" spans="1:14" ht="15.75" customHeight="1" x14ac:dyDescent="0.2">
      <c r="A738" s="9"/>
      <c r="B738" s="10"/>
      <c r="C738" s="9"/>
      <c r="D738" s="9"/>
      <c r="E738" s="9"/>
      <c r="F738" s="9"/>
      <c r="G738" s="9"/>
      <c r="H738" s="9"/>
      <c r="I738" s="9"/>
      <c r="J738" s="9"/>
      <c r="K738" s="9"/>
      <c r="L738" s="9"/>
      <c r="M738" s="9"/>
      <c r="N738" s="9"/>
    </row>
    <row r="739" spans="1:14" ht="15.75" customHeight="1" x14ac:dyDescent="0.2">
      <c r="A739" s="9"/>
      <c r="B739" s="10"/>
      <c r="C739" s="9"/>
      <c r="D739" s="9"/>
      <c r="E739" s="9"/>
      <c r="F739" s="9"/>
      <c r="G739" s="9"/>
      <c r="H739" s="9"/>
      <c r="I739" s="9"/>
      <c r="J739" s="9"/>
      <c r="K739" s="9"/>
      <c r="L739" s="9"/>
      <c r="M739" s="9"/>
      <c r="N739" s="9"/>
    </row>
    <row r="740" spans="1:14" ht="15.75" customHeight="1" x14ac:dyDescent="0.2">
      <c r="A740" s="9"/>
      <c r="B740" s="10"/>
      <c r="C740" s="9"/>
      <c r="D740" s="9"/>
      <c r="E740" s="9"/>
      <c r="F740" s="9"/>
      <c r="G740" s="9"/>
      <c r="H740" s="9"/>
      <c r="I740" s="9"/>
      <c r="J740" s="9"/>
      <c r="K740" s="9"/>
      <c r="L740" s="9"/>
      <c r="M740" s="9"/>
      <c r="N740" s="9"/>
    </row>
    <row r="741" spans="1:14" ht="15.75" customHeight="1" x14ac:dyDescent="0.2">
      <c r="A741" s="9"/>
      <c r="B741" s="10"/>
      <c r="C741" s="9"/>
      <c r="D741" s="9"/>
      <c r="E741" s="9"/>
      <c r="F741" s="9"/>
      <c r="G741" s="9"/>
      <c r="H741" s="9"/>
      <c r="I741" s="9"/>
      <c r="J741" s="9"/>
      <c r="K741" s="9"/>
      <c r="L741" s="9"/>
      <c r="M741" s="9"/>
      <c r="N741" s="9"/>
    </row>
    <row r="742" spans="1:14" ht="15.75" customHeight="1" x14ac:dyDescent="0.2">
      <c r="A742" s="9"/>
      <c r="B742" s="10"/>
      <c r="C742" s="9"/>
      <c r="D742" s="9"/>
      <c r="E742" s="9"/>
      <c r="F742" s="9"/>
      <c r="G742" s="9"/>
      <c r="H742" s="9"/>
      <c r="I742" s="9"/>
      <c r="J742" s="9"/>
      <c r="K742" s="9"/>
      <c r="L742" s="9"/>
      <c r="M742" s="9"/>
      <c r="N742" s="9"/>
    </row>
    <row r="743" spans="1:14" ht="15.75" customHeight="1" x14ac:dyDescent="0.2">
      <c r="A743" s="9"/>
      <c r="B743" s="10"/>
      <c r="C743" s="9"/>
      <c r="D743" s="9"/>
      <c r="E743" s="9"/>
      <c r="F743" s="9"/>
      <c r="G743" s="9"/>
      <c r="H743" s="9"/>
      <c r="I743" s="9"/>
      <c r="J743" s="9"/>
      <c r="K743" s="9"/>
      <c r="L743" s="9"/>
      <c r="M743" s="9"/>
      <c r="N743" s="9"/>
    </row>
    <row r="744" spans="1:14" ht="15.75" customHeight="1" x14ac:dyDescent="0.2">
      <c r="A744" s="9"/>
      <c r="B744" s="10"/>
      <c r="C744" s="9"/>
      <c r="D744" s="9"/>
      <c r="E744" s="9"/>
      <c r="F744" s="9"/>
      <c r="G744" s="9"/>
      <c r="H744" s="9"/>
      <c r="I744" s="9"/>
      <c r="J744" s="9"/>
      <c r="K744" s="9"/>
      <c r="L744" s="9"/>
      <c r="M744" s="9"/>
      <c r="N744" s="9"/>
    </row>
    <row r="745" spans="1:14" ht="15.75" customHeight="1" x14ac:dyDescent="0.2">
      <c r="A745" s="9"/>
      <c r="B745" s="10"/>
      <c r="C745" s="9"/>
      <c r="D745" s="9"/>
      <c r="E745" s="9"/>
      <c r="F745" s="9"/>
      <c r="G745" s="9"/>
      <c r="H745" s="9"/>
      <c r="I745" s="9"/>
      <c r="J745" s="9"/>
      <c r="K745" s="9"/>
      <c r="L745" s="9"/>
      <c r="M745" s="9"/>
      <c r="N745" s="9"/>
    </row>
    <row r="746" spans="1:14" ht="15.75" customHeight="1" x14ac:dyDescent="0.2">
      <c r="A746" s="9"/>
      <c r="B746" s="10"/>
      <c r="C746" s="9"/>
      <c r="D746" s="9"/>
      <c r="E746" s="9"/>
      <c r="F746" s="9"/>
      <c r="G746" s="9"/>
      <c r="H746" s="9"/>
      <c r="I746" s="9"/>
      <c r="J746" s="9"/>
      <c r="K746" s="9"/>
      <c r="L746" s="9"/>
      <c r="M746" s="9"/>
      <c r="N746" s="9"/>
    </row>
    <row r="747" spans="1:14" ht="15.75" customHeight="1" x14ac:dyDescent="0.2">
      <c r="A747" s="9"/>
      <c r="B747" s="10"/>
      <c r="C747" s="9"/>
      <c r="D747" s="9"/>
      <c r="E747" s="9"/>
      <c r="F747" s="9"/>
      <c r="G747" s="9"/>
      <c r="H747" s="9"/>
      <c r="I747" s="9"/>
      <c r="J747" s="9"/>
      <c r="K747" s="9"/>
      <c r="L747" s="9"/>
      <c r="M747" s="9"/>
      <c r="N747" s="9"/>
    </row>
    <row r="748" spans="1:14" ht="15.75" customHeight="1" x14ac:dyDescent="0.2">
      <c r="A748" s="9"/>
      <c r="B748" s="10"/>
      <c r="C748" s="9"/>
      <c r="D748" s="9"/>
      <c r="E748" s="9"/>
      <c r="F748" s="9"/>
      <c r="G748" s="9"/>
      <c r="H748" s="9"/>
      <c r="I748" s="9"/>
      <c r="J748" s="9"/>
      <c r="K748" s="9"/>
      <c r="L748" s="9"/>
      <c r="M748" s="9"/>
      <c r="N748" s="9"/>
    </row>
    <row r="749" spans="1:14" ht="15.75" customHeight="1" x14ac:dyDescent="0.2">
      <c r="A749" s="9"/>
      <c r="B749" s="10"/>
      <c r="C749" s="9"/>
      <c r="D749" s="9"/>
      <c r="E749" s="9"/>
      <c r="F749" s="9"/>
      <c r="G749" s="9"/>
      <c r="H749" s="9"/>
      <c r="I749" s="9"/>
      <c r="J749" s="9"/>
      <c r="K749" s="9"/>
      <c r="L749" s="9"/>
      <c r="M749" s="9"/>
      <c r="N749" s="9"/>
    </row>
    <row r="750" spans="1:14" ht="15.75" customHeight="1" x14ac:dyDescent="0.2">
      <c r="A750" s="9"/>
      <c r="B750" s="10"/>
      <c r="C750" s="9"/>
      <c r="D750" s="9"/>
      <c r="E750" s="9"/>
      <c r="F750" s="9"/>
      <c r="G750" s="9"/>
      <c r="H750" s="9"/>
      <c r="I750" s="9"/>
      <c r="J750" s="9"/>
      <c r="K750" s="9"/>
      <c r="L750" s="9"/>
      <c r="M750" s="9"/>
      <c r="N750" s="9"/>
    </row>
    <row r="751" spans="1:14" ht="15.75" customHeight="1" x14ac:dyDescent="0.2">
      <c r="A751" s="9"/>
      <c r="B751" s="10"/>
      <c r="C751" s="9"/>
      <c r="D751" s="9"/>
      <c r="E751" s="9"/>
      <c r="F751" s="9"/>
      <c r="G751" s="9"/>
      <c r="H751" s="9"/>
      <c r="I751" s="9"/>
      <c r="J751" s="9"/>
      <c r="K751" s="9"/>
      <c r="L751" s="9"/>
      <c r="M751" s="9"/>
      <c r="N751" s="9"/>
    </row>
    <row r="752" spans="1:14" ht="15.75" customHeight="1" x14ac:dyDescent="0.2">
      <c r="A752" s="9"/>
      <c r="B752" s="10"/>
      <c r="C752" s="9"/>
      <c r="D752" s="9"/>
      <c r="E752" s="9"/>
      <c r="F752" s="9"/>
      <c r="G752" s="9"/>
      <c r="H752" s="9"/>
      <c r="I752" s="9"/>
      <c r="J752" s="9"/>
      <c r="K752" s="9"/>
      <c r="L752" s="9"/>
      <c r="M752" s="9"/>
      <c r="N752" s="9"/>
    </row>
    <row r="753" spans="1:14" ht="15.75" customHeight="1" x14ac:dyDescent="0.2">
      <c r="A753" s="9"/>
      <c r="B753" s="10"/>
      <c r="C753" s="9"/>
      <c r="D753" s="9"/>
      <c r="E753" s="9"/>
      <c r="F753" s="9"/>
      <c r="G753" s="9"/>
      <c r="H753" s="9"/>
      <c r="I753" s="9"/>
      <c r="J753" s="9"/>
      <c r="K753" s="9"/>
      <c r="L753" s="9"/>
      <c r="M753" s="9"/>
      <c r="N753" s="9"/>
    </row>
    <row r="754" spans="1:14" ht="15.75" customHeight="1" x14ac:dyDescent="0.2">
      <c r="A754" s="9"/>
      <c r="B754" s="10"/>
      <c r="C754" s="9"/>
      <c r="D754" s="9"/>
      <c r="E754" s="9"/>
      <c r="F754" s="9"/>
      <c r="G754" s="9"/>
      <c r="H754" s="9"/>
      <c r="I754" s="9"/>
      <c r="J754" s="9"/>
      <c r="K754" s="9"/>
      <c r="L754" s="9"/>
      <c r="M754" s="9"/>
      <c r="N754" s="9"/>
    </row>
    <row r="755" spans="1:14" ht="15.75" customHeight="1" x14ac:dyDescent="0.2">
      <c r="A755" s="9"/>
      <c r="B755" s="10"/>
      <c r="C755" s="9"/>
      <c r="D755" s="9"/>
      <c r="E755" s="9"/>
      <c r="F755" s="9"/>
      <c r="G755" s="9"/>
      <c r="H755" s="9"/>
      <c r="I755" s="9"/>
      <c r="J755" s="9"/>
      <c r="K755" s="9"/>
      <c r="L755" s="9"/>
      <c r="M755" s="9"/>
      <c r="N755" s="9"/>
    </row>
    <row r="756" spans="1:14" ht="15.75" customHeight="1" x14ac:dyDescent="0.2">
      <c r="A756" s="9"/>
      <c r="B756" s="10"/>
      <c r="C756" s="9"/>
      <c r="D756" s="9"/>
      <c r="E756" s="9"/>
      <c r="F756" s="9"/>
      <c r="G756" s="9"/>
      <c r="H756" s="9"/>
      <c r="I756" s="9"/>
      <c r="J756" s="9"/>
      <c r="K756" s="9"/>
      <c r="L756" s="9"/>
      <c r="M756" s="9"/>
      <c r="N756" s="9"/>
    </row>
    <row r="757" spans="1:14" ht="15.75" customHeight="1" x14ac:dyDescent="0.2">
      <c r="A757" s="9"/>
      <c r="B757" s="10"/>
      <c r="C757" s="9"/>
      <c r="D757" s="9"/>
      <c r="E757" s="9"/>
      <c r="F757" s="9"/>
      <c r="G757" s="9"/>
      <c r="H757" s="9"/>
      <c r="I757" s="9"/>
      <c r="J757" s="9"/>
      <c r="K757" s="9"/>
      <c r="L757" s="9"/>
      <c r="M757" s="9"/>
      <c r="N757" s="9"/>
    </row>
    <row r="758" spans="1:14" ht="15.75" customHeight="1" x14ac:dyDescent="0.2">
      <c r="A758" s="9"/>
      <c r="B758" s="10"/>
      <c r="C758" s="9"/>
      <c r="D758" s="9"/>
      <c r="E758" s="9"/>
      <c r="F758" s="9"/>
      <c r="G758" s="9"/>
      <c r="H758" s="9"/>
      <c r="I758" s="9"/>
      <c r="J758" s="9"/>
      <c r="K758" s="9"/>
      <c r="L758" s="9"/>
      <c r="M758" s="9"/>
      <c r="N758" s="9"/>
    </row>
    <row r="759" spans="1:14" ht="15.75" customHeight="1" x14ac:dyDescent="0.2">
      <c r="A759" s="9"/>
      <c r="B759" s="10"/>
      <c r="C759" s="9"/>
      <c r="D759" s="9"/>
      <c r="E759" s="9"/>
      <c r="F759" s="9"/>
      <c r="G759" s="9"/>
      <c r="H759" s="9"/>
      <c r="I759" s="9"/>
      <c r="J759" s="9"/>
      <c r="K759" s="9"/>
      <c r="L759" s="9"/>
      <c r="M759" s="9"/>
      <c r="N759" s="9"/>
    </row>
    <row r="760" spans="1:14" ht="15.75" customHeight="1" x14ac:dyDescent="0.2">
      <c r="A760" s="9"/>
      <c r="B760" s="10"/>
      <c r="C760" s="9"/>
      <c r="D760" s="9"/>
      <c r="E760" s="9"/>
      <c r="F760" s="9"/>
      <c r="G760" s="9"/>
      <c r="H760" s="9"/>
      <c r="I760" s="9"/>
      <c r="J760" s="9"/>
      <c r="K760" s="9"/>
      <c r="L760" s="9"/>
      <c r="M760" s="9"/>
      <c r="N760" s="9"/>
    </row>
    <row r="761" spans="1:14" ht="15.75" customHeight="1" x14ac:dyDescent="0.2">
      <c r="A761" s="9"/>
      <c r="B761" s="10"/>
      <c r="C761" s="9"/>
      <c r="D761" s="9"/>
      <c r="E761" s="9"/>
      <c r="F761" s="9"/>
      <c r="G761" s="9"/>
      <c r="H761" s="9"/>
      <c r="I761" s="9"/>
      <c r="J761" s="9"/>
      <c r="K761" s="9"/>
      <c r="L761" s="9"/>
      <c r="M761" s="9"/>
      <c r="N761" s="9"/>
    </row>
    <row r="762" spans="1:14" ht="15.75" customHeight="1" x14ac:dyDescent="0.2">
      <c r="A762" s="9"/>
      <c r="B762" s="10"/>
      <c r="C762" s="9"/>
      <c r="D762" s="9"/>
      <c r="E762" s="9"/>
      <c r="F762" s="9"/>
      <c r="G762" s="9"/>
      <c r="H762" s="9"/>
      <c r="I762" s="9"/>
      <c r="J762" s="9"/>
      <c r="K762" s="9"/>
      <c r="L762" s="9"/>
      <c r="M762" s="9"/>
      <c r="N762" s="9"/>
    </row>
    <row r="763" spans="1:14" ht="15.75" customHeight="1" x14ac:dyDescent="0.2">
      <c r="A763" s="9"/>
      <c r="B763" s="10"/>
      <c r="C763" s="9"/>
      <c r="D763" s="9"/>
      <c r="E763" s="9"/>
      <c r="F763" s="9"/>
      <c r="G763" s="9"/>
      <c r="H763" s="9"/>
      <c r="I763" s="9"/>
      <c r="J763" s="9"/>
      <c r="K763" s="9"/>
      <c r="L763" s="9"/>
      <c r="M763" s="9"/>
      <c r="N763" s="9"/>
    </row>
    <row r="764" spans="1:14" ht="15.75" customHeight="1" x14ac:dyDescent="0.2">
      <c r="A764" s="9"/>
      <c r="B764" s="10"/>
      <c r="C764" s="9"/>
      <c r="D764" s="9"/>
      <c r="E764" s="9"/>
      <c r="F764" s="9"/>
      <c r="G764" s="9"/>
      <c r="H764" s="9"/>
      <c r="I764" s="9"/>
      <c r="J764" s="9"/>
      <c r="K764" s="9"/>
      <c r="L764" s="9"/>
      <c r="M764" s="9"/>
      <c r="N764" s="9"/>
    </row>
    <row r="765" spans="1:14" ht="15.75" customHeight="1" x14ac:dyDescent="0.2">
      <c r="A765" s="9"/>
      <c r="B765" s="10"/>
      <c r="C765" s="9"/>
      <c r="D765" s="9"/>
      <c r="E765" s="9"/>
      <c r="F765" s="9"/>
      <c r="G765" s="9"/>
      <c r="H765" s="9"/>
      <c r="I765" s="9"/>
      <c r="J765" s="9"/>
      <c r="K765" s="9"/>
      <c r="L765" s="9"/>
      <c r="M765" s="9"/>
      <c r="N765" s="9"/>
    </row>
    <row r="766" spans="1:14" ht="15.75" customHeight="1" x14ac:dyDescent="0.2">
      <c r="A766" s="9"/>
      <c r="B766" s="10"/>
      <c r="C766" s="9"/>
      <c r="D766" s="9"/>
      <c r="E766" s="9"/>
      <c r="F766" s="9"/>
      <c r="G766" s="9"/>
      <c r="H766" s="9"/>
      <c r="I766" s="9"/>
      <c r="J766" s="9"/>
      <c r="K766" s="9"/>
      <c r="L766" s="9"/>
      <c r="M766" s="9"/>
      <c r="N766" s="9"/>
    </row>
    <row r="767" spans="1:14" ht="15.75" customHeight="1" x14ac:dyDescent="0.2">
      <c r="A767" s="9"/>
      <c r="B767" s="10"/>
      <c r="C767" s="9"/>
      <c r="D767" s="9"/>
      <c r="E767" s="9"/>
      <c r="F767" s="9"/>
      <c r="G767" s="9"/>
      <c r="H767" s="9"/>
      <c r="I767" s="9"/>
      <c r="J767" s="9"/>
      <c r="K767" s="9"/>
      <c r="L767" s="9"/>
      <c r="M767" s="9"/>
      <c r="N767" s="9"/>
    </row>
    <row r="768" spans="1:14" ht="15.75" customHeight="1" x14ac:dyDescent="0.2">
      <c r="A768" s="9"/>
      <c r="B768" s="10"/>
      <c r="C768" s="9"/>
      <c r="D768" s="9"/>
      <c r="E768" s="9"/>
      <c r="F768" s="9"/>
      <c r="G768" s="9"/>
      <c r="H768" s="9"/>
      <c r="I768" s="9"/>
      <c r="J768" s="9"/>
      <c r="K768" s="9"/>
      <c r="L768" s="9"/>
      <c r="M768" s="9"/>
      <c r="N768" s="9"/>
    </row>
    <row r="769" spans="1:14" ht="15.75" customHeight="1" x14ac:dyDescent="0.2">
      <c r="A769" s="9"/>
      <c r="B769" s="10"/>
      <c r="C769" s="9"/>
      <c r="D769" s="9"/>
      <c r="E769" s="9"/>
      <c r="F769" s="9"/>
      <c r="G769" s="9"/>
      <c r="H769" s="9"/>
      <c r="I769" s="9"/>
      <c r="J769" s="9"/>
      <c r="K769" s="9"/>
      <c r="L769" s="9"/>
      <c r="M769" s="9"/>
      <c r="N769" s="9"/>
    </row>
    <row r="770" spans="1:14" ht="15.75" customHeight="1" x14ac:dyDescent="0.2">
      <c r="A770" s="9"/>
      <c r="B770" s="10"/>
      <c r="C770" s="9"/>
      <c r="D770" s="9"/>
      <c r="E770" s="9"/>
      <c r="F770" s="9"/>
      <c r="G770" s="9"/>
      <c r="H770" s="9"/>
      <c r="I770" s="9"/>
      <c r="J770" s="9"/>
      <c r="K770" s="9"/>
      <c r="L770" s="9"/>
      <c r="M770" s="9"/>
      <c r="N770" s="9"/>
    </row>
    <row r="771" spans="1:14" ht="15.75" customHeight="1" x14ac:dyDescent="0.2">
      <c r="A771" s="9"/>
      <c r="B771" s="10"/>
      <c r="C771" s="9"/>
      <c r="D771" s="9"/>
      <c r="E771" s="9"/>
      <c r="F771" s="9"/>
      <c r="G771" s="9"/>
      <c r="H771" s="9"/>
      <c r="I771" s="9"/>
      <c r="J771" s="9"/>
      <c r="K771" s="9"/>
      <c r="L771" s="9"/>
      <c r="M771" s="9"/>
      <c r="N771" s="9"/>
    </row>
    <row r="772" spans="1:14" ht="15.75" customHeight="1" x14ac:dyDescent="0.2">
      <c r="A772" s="9"/>
      <c r="B772" s="10"/>
      <c r="C772" s="9"/>
      <c r="D772" s="9"/>
      <c r="E772" s="9"/>
      <c r="F772" s="9"/>
      <c r="G772" s="9"/>
      <c r="H772" s="9"/>
      <c r="I772" s="9"/>
      <c r="J772" s="9"/>
      <c r="K772" s="9"/>
      <c r="L772" s="9"/>
      <c r="M772" s="9"/>
      <c r="N772" s="9"/>
    </row>
    <row r="773" spans="1:14" ht="15.75" customHeight="1" x14ac:dyDescent="0.2">
      <c r="A773" s="9"/>
      <c r="B773" s="10"/>
      <c r="C773" s="9"/>
      <c r="D773" s="9"/>
      <c r="E773" s="9"/>
      <c r="F773" s="9"/>
      <c r="G773" s="9"/>
      <c r="H773" s="9"/>
      <c r="I773" s="9"/>
      <c r="J773" s="9"/>
      <c r="K773" s="9"/>
      <c r="L773" s="9"/>
      <c r="M773" s="9"/>
      <c r="N773" s="9"/>
    </row>
    <row r="774" spans="1:14" ht="15.75" customHeight="1" x14ac:dyDescent="0.2">
      <c r="A774" s="9"/>
      <c r="B774" s="10"/>
      <c r="C774" s="9"/>
      <c r="D774" s="9"/>
      <c r="E774" s="9"/>
      <c r="F774" s="9"/>
      <c r="G774" s="9"/>
      <c r="H774" s="9"/>
      <c r="I774" s="9"/>
      <c r="J774" s="9"/>
      <c r="K774" s="9"/>
      <c r="L774" s="9"/>
      <c r="M774" s="9"/>
      <c r="N774" s="9"/>
    </row>
    <row r="775" spans="1:14" ht="15.75" customHeight="1" x14ac:dyDescent="0.2">
      <c r="A775" s="9"/>
      <c r="B775" s="10"/>
      <c r="C775" s="9"/>
      <c r="D775" s="9"/>
      <c r="E775" s="9"/>
      <c r="F775" s="9"/>
      <c r="G775" s="9"/>
      <c r="H775" s="9"/>
      <c r="I775" s="9"/>
      <c r="J775" s="9"/>
      <c r="K775" s="9"/>
      <c r="L775" s="9"/>
      <c r="M775" s="9"/>
      <c r="N775" s="9"/>
    </row>
    <row r="776" spans="1:14" ht="15.75" customHeight="1" x14ac:dyDescent="0.2">
      <c r="A776" s="9"/>
      <c r="B776" s="10"/>
      <c r="C776" s="9"/>
      <c r="D776" s="9"/>
      <c r="E776" s="9"/>
      <c r="F776" s="9"/>
      <c r="G776" s="9"/>
      <c r="H776" s="9"/>
      <c r="I776" s="9"/>
      <c r="J776" s="9"/>
      <c r="K776" s="9"/>
      <c r="L776" s="9"/>
      <c r="M776" s="9"/>
      <c r="N776" s="9"/>
    </row>
    <row r="777" spans="1:14" ht="15.75" customHeight="1" x14ac:dyDescent="0.2">
      <c r="A777" s="9"/>
      <c r="B777" s="10"/>
      <c r="C777" s="9"/>
      <c r="D777" s="9"/>
      <c r="E777" s="9"/>
      <c r="F777" s="9"/>
      <c r="G777" s="9"/>
      <c r="H777" s="9"/>
      <c r="I777" s="9"/>
      <c r="J777" s="9"/>
      <c r="K777" s="9"/>
      <c r="L777" s="9"/>
      <c r="M777" s="9"/>
      <c r="N777" s="9"/>
    </row>
    <row r="778" spans="1:14" ht="15.75" customHeight="1" x14ac:dyDescent="0.2">
      <c r="A778" s="9"/>
      <c r="B778" s="10"/>
      <c r="C778" s="9"/>
      <c r="D778" s="9"/>
      <c r="E778" s="9"/>
      <c r="F778" s="9"/>
      <c r="G778" s="9"/>
      <c r="H778" s="9"/>
      <c r="I778" s="9"/>
      <c r="J778" s="9"/>
      <c r="K778" s="9"/>
      <c r="L778" s="9"/>
      <c r="M778" s="9"/>
      <c r="N778" s="9"/>
    </row>
    <row r="779" spans="1:14" ht="15.75" customHeight="1" x14ac:dyDescent="0.2">
      <c r="A779" s="9"/>
      <c r="B779" s="10"/>
      <c r="C779" s="9"/>
      <c r="D779" s="9"/>
      <c r="E779" s="9"/>
      <c r="F779" s="9"/>
      <c r="G779" s="9"/>
      <c r="H779" s="9"/>
      <c r="I779" s="9"/>
      <c r="J779" s="9"/>
      <c r="K779" s="9"/>
      <c r="L779" s="9"/>
      <c r="M779" s="9"/>
      <c r="N779" s="9"/>
    </row>
    <row r="780" spans="1:14" ht="15.75" customHeight="1" x14ac:dyDescent="0.2">
      <c r="A780" s="9"/>
      <c r="B780" s="10"/>
      <c r="C780" s="9"/>
      <c r="D780" s="9"/>
      <c r="E780" s="9"/>
      <c r="F780" s="9"/>
      <c r="G780" s="9"/>
      <c r="H780" s="9"/>
      <c r="I780" s="9"/>
      <c r="J780" s="9"/>
      <c r="K780" s="9"/>
      <c r="L780" s="9"/>
      <c r="M780" s="9"/>
      <c r="N780" s="9"/>
    </row>
    <row r="781" spans="1:14" ht="15.75" customHeight="1" x14ac:dyDescent="0.2">
      <c r="A781" s="9"/>
      <c r="B781" s="10"/>
      <c r="C781" s="9"/>
      <c r="D781" s="9"/>
      <c r="E781" s="9"/>
      <c r="F781" s="9"/>
      <c r="G781" s="9"/>
      <c r="H781" s="9"/>
      <c r="I781" s="9"/>
      <c r="J781" s="9"/>
      <c r="K781" s="9"/>
      <c r="L781" s="9"/>
      <c r="M781" s="9"/>
      <c r="N781" s="9"/>
    </row>
    <row r="782" spans="1:14" ht="15.75" customHeight="1" x14ac:dyDescent="0.2">
      <c r="A782" s="9"/>
      <c r="B782" s="10"/>
      <c r="C782" s="9"/>
      <c r="D782" s="9"/>
      <c r="E782" s="9"/>
      <c r="F782" s="9"/>
      <c r="G782" s="9"/>
      <c r="H782" s="9"/>
      <c r="I782" s="9"/>
      <c r="J782" s="9"/>
      <c r="K782" s="9"/>
      <c r="L782" s="9"/>
      <c r="M782" s="9"/>
      <c r="N782" s="9"/>
    </row>
    <row r="783" spans="1:14" ht="15.75" customHeight="1" x14ac:dyDescent="0.2">
      <c r="A783" s="9"/>
      <c r="B783" s="10"/>
      <c r="C783" s="9"/>
      <c r="D783" s="9"/>
      <c r="E783" s="9"/>
      <c r="F783" s="9"/>
      <c r="G783" s="9"/>
      <c r="H783" s="9"/>
      <c r="I783" s="9"/>
      <c r="J783" s="9"/>
      <c r="K783" s="9"/>
      <c r="L783" s="9"/>
      <c r="M783" s="9"/>
      <c r="N783" s="9"/>
    </row>
    <row r="784" spans="1:14" ht="15.75" customHeight="1" x14ac:dyDescent="0.2">
      <c r="A784" s="9"/>
      <c r="B784" s="10"/>
      <c r="C784" s="9"/>
      <c r="D784" s="9"/>
      <c r="E784" s="9"/>
      <c r="F784" s="9"/>
      <c r="G784" s="9"/>
      <c r="H784" s="9"/>
      <c r="I784" s="9"/>
      <c r="J784" s="9"/>
      <c r="K784" s="9"/>
      <c r="L784" s="9"/>
      <c r="M784" s="9"/>
      <c r="N784" s="9"/>
    </row>
    <row r="785" spans="1:14" ht="15.75" customHeight="1" x14ac:dyDescent="0.2">
      <c r="A785" s="9"/>
      <c r="B785" s="10"/>
      <c r="C785" s="9"/>
      <c r="D785" s="9"/>
      <c r="E785" s="9"/>
      <c r="F785" s="9"/>
      <c r="G785" s="9"/>
      <c r="H785" s="9"/>
      <c r="I785" s="9"/>
      <c r="J785" s="9"/>
      <c r="K785" s="9"/>
      <c r="L785" s="9"/>
      <c r="M785" s="9"/>
      <c r="N785" s="9"/>
    </row>
    <row r="786" spans="1:14" ht="15.75" customHeight="1" x14ac:dyDescent="0.2">
      <c r="A786" s="9"/>
      <c r="B786" s="10"/>
      <c r="C786" s="9"/>
      <c r="D786" s="9"/>
      <c r="E786" s="9"/>
      <c r="F786" s="9"/>
      <c r="G786" s="9"/>
      <c r="H786" s="9"/>
      <c r="I786" s="9"/>
      <c r="J786" s="9"/>
      <c r="K786" s="9"/>
      <c r="L786" s="9"/>
      <c r="M786" s="9"/>
      <c r="N786" s="9"/>
    </row>
    <row r="787" spans="1:14" ht="15.75" customHeight="1" x14ac:dyDescent="0.2">
      <c r="A787" s="9"/>
      <c r="B787" s="10"/>
      <c r="C787" s="9"/>
      <c r="D787" s="9"/>
      <c r="E787" s="9"/>
      <c r="F787" s="9"/>
      <c r="G787" s="9"/>
      <c r="H787" s="9"/>
      <c r="I787" s="9"/>
      <c r="J787" s="9"/>
      <c r="K787" s="9"/>
      <c r="L787" s="9"/>
      <c r="M787" s="9"/>
      <c r="N787" s="9"/>
    </row>
    <row r="788" spans="1:14" ht="15.75" customHeight="1" x14ac:dyDescent="0.2">
      <c r="A788" s="9"/>
      <c r="B788" s="10"/>
      <c r="C788" s="9"/>
      <c r="D788" s="9"/>
      <c r="E788" s="9"/>
      <c r="F788" s="9"/>
      <c r="G788" s="9"/>
      <c r="H788" s="9"/>
      <c r="I788" s="9"/>
      <c r="J788" s="9"/>
      <c r="K788" s="9"/>
      <c r="L788" s="9"/>
      <c r="M788" s="9"/>
      <c r="N788" s="9"/>
    </row>
    <row r="789" spans="1:14" ht="15.75" customHeight="1" x14ac:dyDescent="0.2">
      <c r="A789" s="9"/>
      <c r="B789" s="10"/>
      <c r="C789" s="9"/>
      <c r="D789" s="9"/>
      <c r="E789" s="9"/>
      <c r="F789" s="9"/>
      <c r="G789" s="9"/>
      <c r="H789" s="9"/>
      <c r="I789" s="9"/>
      <c r="J789" s="9"/>
      <c r="K789" s="9"/>
      <c r="L789" s="9"/>
      <c r="M789" s="9"/>
      <c r="N789" s="9"/>
    </row>
    <row r="790" spans="1:14" ht="15.75" customHeight="1" x14ac:dyDescent="0.2">
      <c r="A790" s="9"/>
      <c r="B790" s="10"/>
      <c r="C790" s="9"/>
      <c r="D790" s="9"/>
      <c r="E790" s="9"/>
      <c r="F790" s="9"/>
      <c r="G790" s="9"/>
      <c r="H790" s="9"/>
      <c r="I790" s="9"/>
      <c r="J790" s="9"/>
      <c r="K790" s="9"/>
      <c r="L790" s="9"/>
      <c r="M790" s="9"/>
      <c r="N790" s="9"/>
    </row>
    <row r="791" spans="1:14" ht="15.75" customHeight="1" x14ac:dyDescent="0.2">
      <c r="A791" s="9"/>
      <c r="B791" s="10"/>
      <c r="C791" s="9"/>
      <c r="D791" s="9"/>
      <c r="E791" s="9"/>
      <c r="F791" s="9"/>
      <c r="G791" s="9"/>
      <c r="H791" s="9"/>
      <c r="I791" s="9"/>
      <c r="J791" s="9"/>
      <c r="K791" s="9"/>
      <c r="L791" s="9"/>
      <c r="M791" s="9"/>
      <c r="N791" s="9"/>
    </row>
    <row r="792" spans="1:14" ht="15.75" customHeight="1" x14ac:dyDescent="0.2">
      <c r="A792" s="9"/>
      <c r="B792" s="10"/>
      <c r="C792" s="9"/>
      <c r="D792" s="9"/>
      <c r="E792" s="9"/>
      <c r="F792" s="9"/>
      <c r="G792" s="9"/>
      <c r="H792" s="9"/>
      <c r="I792" s="9"/>
      <c r="J792" s="9"/>
      <c r="K792" s="9"/>
      <c r="L792" s="9"/>
      <c r="M792" s="9"/>
      <c r="N792" s="9"/>
    </row>
    <row r="793" spans="1:14" ht="15.75" customHeight="1" x14ac:dyDescent="0.2">
      <c r="A793" s="9"/>
      <c r="B793" s="10"/>
      <c r="C793" s="9"/>
      <c r="D793" s="9"/>
      <c r="E793" s="9"/>
      <c r="F793" s="9"/>
      <c r="G793" s="9"/>
      <c r="H793" s="9"/>
      <c r="I793" s="9"/>
      <c r="J793" s="9"/>
      <c r="K793" s="9"/>
      <c r="L793" s="9"/>
      <c r="M793" s="9"/>
      <c r="N793" s="9"/>
    </row>
    <row r="794" spans="1:14" ht="15.75" customHeight="1" x14ac:dyDescent="0.2">
      <c r="A794" s="9"/>
      <c r="B794" s="10"/>
      <c r="C794" s="9"/>
      <c r="D794" s="9"/>
      <c r="E794" s="9"/>
      <c r="F794" s="9"/>
      <c r="G794" s="9"/>
      <c r="H794" s="9"/>
      <c r="I794" s="9"/>
      <c r="J794" s="9"/>
      <c r="K794" s="9"/>
      <c r="L794" s="9"/>
      <c r="M794" s="9"/>
      <c r="N794" s="9"/>
    </row>
    <row r="795" spans="1:14" ht="15.75" customHeight="1" x14ac:dyDescent="0.2">
      <c r="A795" s="9"/>
      <c r="B795" s="10"/>
      <c r="C795" s="9"/>
      <c r="D795" s="9"/>
      <c r="E795" s="9"/>
      <c r="F795" s="9"/>
      <c r="G795" s="9"/>
      <c r="H795" s="9"/>
      <c r="I795" s="9"/>
      <c r="J795" s="9"/>
      <c r="K795" s="9"/>
      <c r="L795" s="9"/>
      <c r="M795" s="9"/>
      <c r="N795" s="9"/>
    </row>
    <row r="796" spans="1:14" ht="15.75" customHeight="1" x14ac:dyDescent="0.2">
      <c r="A796" s="9"/>
      <c r="B796" s="10"/>
      <c r="C796" s="9"/>
      <c r="D796" s="9"/>
      <c r="E796" s="9"/>
      <c r="F796" s="9"/>
      <c r="G796" s="9"/>
      <c r="H796" s="9"/>
      <c r="I796" s="9"/>
      <c r="J796" s="9"/>
      <c r="K796" s="9"/>
      <c r="L796" s="9"/>
      <c r="M796" s="9"/>
      <c r="N796" s="9"/>
    </row>
    <row r="797" spans="1:14" ht="15.75" customHeight="1" x14ac:dyDescent="0.2">
      <c r="A797" s="9"/>
      <c r="B797" s="10"/>
      <c r="C797" s="9"/>
      <c r="D797" s="9"/>
      <c r="E797" s="9"/>
      <c r="F797" s="9"/>
      <c r="G797" s="9"/>
      <c r="H797" s="9"/>
      <c r="I797" s="9"/>
      <c r="J797" s="9"/>
      <c r="K797" s="9"/>
      <c r="L797" s="9"/>
      <c r="M797" s="9"/>
      <c r="N797" s="9"/>
    </row>
    <row r="798" spans="1:14" ht="15.75" customHeight="1" x14ac:dyDescent="0.2">
      <c r="A798" s="9"/>
      <c r="B798" s="10"/>
      <c r="C798" s="9"/>
      <c r="D798" s="9"/>
      <c r="E798" s="9"/>
      <c r="F798" s="9"/>
      <c r="G798" s="9"/>
      <c r="H798" s="9"/>
      <c r="I798" s="9"/>
      <c r="J798" s="9"/>
      <c r="K798" s="9"/>
      <c r="L798" s="9"/>
      <c r="M798" s="9"/>
      <c r="N798" s="9"/>
    </row>
    <row r="799" spans="1:14" ht="15.75" customHeight="1" x14ac:dyDescent="0.2">
      <c r="A799" s="9"/>
      <c r="B799" s="10"/>
      <c r="C799" s="9"/>
      <c r="D799" s="9"/>
      <c r="E799" s="9"/>
      <c r="F799" s="9"/>
      <c r="G799" s="9"/>
      <c r="H799" s="9"/>
      <c r="I799" s="9"/>
      <c r="J799" s="9"/>
      <c r="K799" s="9"/>
      <c r="L799" s="9"/>
      <c r="M799" s="9"/>
      <c r="N799" s="9"/>
    </row>
    <row r="800" spans="1:14" ht="15.75" customHeight="1" x14ac:dyDescent="0.2">
      <c r="A800" s="9"/>
      <c r="B800" s="10"/>
      <c r="C800" s="9"/>
      <c r="D800" s="9"/>
      <c r="E800" s="9"/>
      <c r="F800" s="9"/>
      <c r="G800" s="9"/>
      <c r="H800" s="9"/>
      <c r="I800" s="9"/>
      <c r="J800" s="9"/>
      <c r="K800" s="9"/>
      <c r="L800" s="9"/>
      <c r="M800" s="9"/>
      <c r="N800" s="9"/>
    </row>
    <row r="801" spans="1:14" ht="15.75" customHeight="1" x14ac:dyDescent="0.2">
      <c r="A801" s="9"/>
      <c r="B801" s="10"/>
      <c r="C801" s="9"/>
      <c r="D801" s="9"/>
      <c r="E801" s="9"/>
      <c r="F801" s="9"/>
      <c r="G801" s="9"/>
      <c r="H801" s="9"/>
      <c r="I801" s="9"/>
      <c r="J801" s="9"/>
      <c r="K801" s="9"/>
      <c r="L801" s="9"/>
      <c r="M801" s="9"/>
      <c r="N801" s="9"/>
    </row>
    <row r="802" spans="1:14" ht="15.75" customHeight="1" x14ac:dyDescent="0.2">
      <c r="A802" s="9"/>
      <c r="B802" s="10"/>
      <c r="C802" s="9"/>
      <c r="D802" s="9"/>
      <c r="E802" s="9"/>
      <c r="F802" s="9"/>
      <c r="G802" s="9"/>
      <c r="H802" s="9"/>
      <c r="I802" s="9"/>
      <c r="J802" s="9"/>
      <c r="K802" s="9"/>
      <c r="L802" s="9"/>
      <c r="M802" s="9"/>
      <c r="N802" s="9"/>
    </row>
    <row r="803" spans="1:14" ht="15.75" customHeight="1" x14ac:dyDescent="0.2">
      <c r="A803" s="9"/>
      <c r="B803" s="10"/>
      <c r="C803" s="9"/>
      <c r="D803" s="9"/>
      <c r="E803" s="9"/>
      <c r="F803" s="9"/>
      <c r="G803" s="9"/>
      <c r="H803" s="9"/>
      <c r="I803" s="9"/>
      <c r="J803" s="9"/>
      <c r="K803" s="9"/>
      <c r="L803" s="9"/>
      <c r="M803" s="9"/>
      <c r="N803" s="9"/>
    </row>
    <row r="804" spans="1:14" ht="15.75" customHeight="1" x14ac:dyDescent="0.2">
      <c r="A804" s="9"/>
      <c r="B804" s="10"/>
      <c r="C804" s="9"/>
      <c r="D804" s="9"/>
      <c r="E804" s="9"/>
      <c r="F804" s="9"/>
      <c r="G804" s="9"/>
      <c r="H804" s="9"/>
      <c r="I804" s="9"/>
      <c r="J804" s="9"/>
      <c r="K804" s="9"/>
      <c r="L804" s="9"/>
      <c r="M804" s="9"/>
      <c r="N804" s="9"/>
    </row>
    <row r="805" spans="1:14" ht="15.75" customHeight="1" x14ac:dyDescent="0.2">
      <c r="A805" s="9"/>
      <c r="B805" s="10"/>
      <c r="C805" s="9"/>
      <c r="D805" s="9"/>
      <c r="E805" s="9"/>
      <c r="F805" s="9"/>
      <c r="G805" s="9"/>
      <c r="H805" s="9"/>
      <c r="I805" s="9"/>
      <c r="J805" s="9"/>
      <c r="K805" s="9"/>
      <c r="L805" s="9"/>
      <c r="M805" s="9"/>
      <c r="N805" s="9"/>
    </row>
    <row r="806" spans="1:14" ht="15.75" customHeight="1" x14ac:dyDescent="0.2">
      <c r="A806" s="9"/>
      <c r="B806" s="10"/>
      <c r="C806" s="9"/>
      <c r="D806" s="9"/>
      <c r="E806" s="9"/>
      <c r="F806" s="9"/>
      <c r="G806" s="9"/>
      <c r="H806" s="9"/>
      <c r="I806" s="9"/>
      <c r="J806" s="9"/>
      <c r="K806" s="9"/>
      <c r="L806" s="9"/>
      <c r="M806" s="9"/>
      <c r="N806" s="9"/>
    </row>
    <row r="807" spans="1:14" ht="15.75" customHeight="1" x14ac:dyDescent="0.2">
      <c r="A807" s="9"/>
      <c r="B807" s="10"/>
      <c r="C807" s="9"/>
      <c r="D807" s="9"/>
      <c r="E807" s="9"/>
      <c r="F807" s="9"/>
      <c r="G807" s="9"/>
      <c r="H807" s="9"/>
      <c r="I807" s="9"/>
      <c r="J807" s="9"/>
      <c r="K807" s="9"/>
      <c r="L807" s="9"/>
      <c r="M807" s="9"/>
      <c r="N807" s="9"/>
    </row>
    <row r="808" spans="1:14" ht="15.75" customHeight="1" x14ac:dyDescent="0.2">
      <c r="A808" s="9"/>
      <c r="B808" s="10"/>
      <c r="C808" s="9"/>
      <c r="D808" s="9"/>
      <c r="E808" s="9"/>
      <c r="F808" s="9"/>
      <c r="G808" s="9"/>
      <c r="H808" s="9"/>
      <c r="I808" s="9"/>
      <c r="J808" s="9"/>
      <c r="K808" s="9"/>
      <c r="L808" s="9"/>
      <c r="M808" s="9"/>
      <c r="N808" s="9"/>
    </row>
    <row r="809" spans="1:14" ht="15.75" customHeight="1" x14ac:dyDescent="0.2">
      <c r="A809" s="9"/>
      <c r="B809" s="10"/>
      <c r="C809" s="9"/>
      <c r="D809" s="9"/>
      <c r="E809" s="9"/>
      <c r="F809" s="9"/>
      <c r="G809" s="9"/>
      <c r="H809" s="9"/>
      <c r="I809" s="9"/>
      <c r="J809" s="9"/>
      <c r="K809" s="9"/>
      <c r="L809" s="9"/>
      <c r="M809" s="9"/>
      <c r="N809" s="9"/>
    </row>
    <row r="810" spans="1:14" ht="15.75" customHeight="1" x14ac:dyDescent="0.2">
      <c r="A810" s="9"/>
      <c r="B810" s="10"/>
      <c r="C810" s="9"/>
      <c r="D810" s="9"/>
      <c r="E810" s="9"/>
      <c r="F810" s="9"/>
      <c r="G810" s="9"/>
      <c r="H810" s="9"/>
      <c r="I810" s="9"/>
      <c r="J810" s="9"/>
      <c r="K810" s="9"/>
      <c r="L810" s="9"/>
      <c r="M810" s="9"/>
      <c r="N810" s="9"/>
    </row>
    <row r="811" spans="1:14" ht="15.75" customHeight="1" x14ac:dyDescent="0.2">
      <c r="A811" s="9"/>
      <c r="B811" s="10"/>
      <c r="C811" s="9"/>
      <c r="D811" s="9"/>
      <c r="E811" s="9"/>
      <c r="F811" s="9"/>
      <c r="G811" s="9"/>
      <c r="H811" s="9"/>
      <c r="I811" s="9"/>
      <c r="J811" s="9"/>
      <c r="K811" s="9"/>
      <c r="L811" s="9"/>
      <c r="M811" s="9"/>
      <c r="N811" s="9"/>
    </row>
    <row r="812" spans="1:14" ht="15.75" customHeight="1" x14ac:dyDescent="0.2">
      <c r="A812" s="9"/>
      <c r="B812" s="10"/>
      <c r="C812" s="9"/>
      <c r="D812" s="9"/>
      <c r="E812" s="9"/>
      <c r="F812" s="9"/>
      <c r="G812" s="9"/>
      <c r="H812" s="9"/>
      <c r="I812" s="9"/>
      <c r="J812" s="9"/>
      <c r="K812" s="9"/>
      <c r="L812" s="9"/>
      <c r="M812" s="9"/>
      <c r="N812" s="9"/>
    </row>
    <row r="813" spans="1:14" ht="15.75" customHeight="1" x14ac:dyDescent="0.2">
      <c r="A813" s="9"/>
      <c r="B813" s="10"/>
      <c r="C813" s="9"/>
      <c r="D813" s="9"/>
      <c r="E813" s="9"/>
      <c r="F813" s="9"/>
      <c r="G813" s="9"/>
      <c r="H813" s="9"/>
      <c r="I813" s="9"/>
      <c r="J813" s="9"/>
      <c r="K813" s="9"/>
      <c r="L813" s="9"/>
      <c r="M813" s="9"/>
      <c r="N813" s="9"/>
    </row>
    <row r="814" spans="1:14" ht="15.75" customHeight="1" x14ac:dyDescent="0.2">
      <c r="A814" s="9"/>
      <c r="B814" s="10"/>
      <c r="C814" s="9"/>
      <c r="D814" s="9"/>
      <c r="E814" s="9"/>
      <c r="F814" s="9"/>
      <c r="G814" s="9"/>
      <c r="H814" s="9"/>
      <c r="I814" s="9"/>
      <c r="J814" s="9"/>
      <c r="K814" s="9"/>
      <c r="L814" s="9"/>
      <c r="M814" s="9"/>
      <c r="N814" s="9"/>
    </row>
    <row r="815" spans="1:14" ht="15.75" customHeight="1" x14ac:dyDescent="0.2">
      <c r="A815" s="9"/>
      <c r="B815" s="10"/>
      <c r="C815" s="9"/>
      <c r="D815" s="9"/>
      <c r="E815" s="9"/>
      <c r="F815" s="9"/>
      <c r="G815" s="9"/>
      <c r="H815" s="9"/>
      <c r="I815" s="9"/>
      <c r="J815" s="9"/>
      <c r="K815" s="9"/>
      <c r="L815" s="9"/>
      <c r="M815" s="9"/>
      <c r="N815" s="9"/>
    </row>
    <row r="816" spans="1:14" ht="15.75" customHeight="1" x14ac:dyDescent="0.2">
      <c r="A816" s="9"/>
      <c r="B816" s="10"/>
      <c r="C816" s="9"/>
      <c r="D816" s="9"/>
      <c r="E816" s="9"/>
      <c r="F816" s="9"/>
      <c r="G816" s="9"/>
      <c r="H816" s="9"/>
      <c r="I816" s="9"/>
      <c r="J816" s="9"/>
      <c r="K816" s="9"/>
      <c r="L816" s="9"/>
      <c r="M816" s="9"/>
      <c r="N816" s="9"/>
    </row>
    <row r="817" spans="1:14" ht="15.75" customHeight="1" x14ac:dyDescent="0.2">
      <c r="A817" s="9"/>
      <c r="B817" s="10"/>
      <c r="C817" s="9"/>
      <c r="D817" s="9"/>
      <c r="E817" s="9"/>
      <c r="F817" s="9"/>
      <c r="G817" s="9"/>
      <c r="H817" s="9"/>
      <c r="I817" s="9"/>
      <c r="J817" s="9"/>
      <c r="K817" s="9"/>
      <c r="L817" s="9"/>
      <c r="M817" s="9"/>
      <c r="N817" s="9"/>
    </row>
    <row r="818" spans="1:14" ht="15.75" customHeight="1" x14ac:dyDescent="0.2">
      <c r="A818" s="9"/>
      <c r="B818" s="10"/>
      <c r="C818" s="9"/>
      <c r="D818" s="9"/>
      <c r="E818" s="9"/>
      <c r="F818" s="9"/>
      <c r="G818" s="9"/>
      <c r="H818" s="9"/>
      <c r="I818" s="9"/>
      <c r="J818" s="9"/>
      <c r="K818" s="9"/>
      <c r="L818" s="9"/>
      <c r="M818" s="9"/>
      <c r="N818" s="9"/>
    </row>
    <row r="819" spans="1:14" ht="15.75" customHeight="1" x14ac:dyDescent="0.2">
      <c r="A819" s="9"/>
      <c r="B819" s="10"/>
      <c r="C819" s="9"/>
      <c r="D819" s="9"/>
      <c r="E819" s="9"/>
      <c r="F819" s="9"/>
      <c r="G819" s="9"/>
      <c r="H819" s="9"/>
      <c r="I819" s="9"/>
      <c r="J819" s="9"/>
      <c r="K819" s="9"/>
      <c r="L819" s="9"/>
      <c r="M819" s="9"/>
      <c r="N819" s="9"/>
    </row>
    <row r="820" spans="1:14" ht="15.75" customHeight="1" x14ac:dyDescent="0.2">
      <c r="A820" s="9"/>
      <c r="B820" s="10"/>
      <c r="C820" s="9"/>
      <c r="D820" s="9"/>
      <c r="E820" s="9"/>
      <c r="F820" s="9"/>
      <c r="G820" s="9"/>
      <c r="H820" s="9"/>
      <c r="I820" s="9"/>
      <c r="J820" s="9"/>
      <c r="K820" s="9"/>
      <c r="L820" s="9"/>
      <c r="M820" s="9"/>
      <c r="N820" s="9"/>
    </row>
    <row r="821" spans="1:14" ht="15.75" customHeight="1" x14ac:dyDescent="0.2">
      <c r="A821" s="9"/>
      <c r="B821" s="10"/>
      <c r="C821" s="9"/>
      <c r="D821" s="9"/>
      <c r="E821" s="9"/>
      <c r="F821" s="9"/>
      <c r="G821" s="9"/>
      <c r="H821" s="9"/>
      <c r="I821" s="9"/>
      <c r="J821" s="9"/>
      <c r="K821" s="9"/>
      <c r="L821" s="9"/>
      <c r="M821" s="9"/>
      <c r="N821" s="9"/>
    </row>
    <row r="822" spans="1:14" ht="15.75" customHeight="1" x14ac:dyDescent="0.2">
      <c r="A822" s="9"/>
      <c r="B822" s="10"/>
      <c r="C822" s="9"/>
      <c r="D822" s="9"/>
      <c r="E822" s="9"/>
      <c r="F822" s="9"/>
      <c r="G822" s="9"/>
      <c r="H822" s="9"/>
      <c r="I822" s="9"/>
      <c r="J822" s="9"/>
      <c r="K822" s="9"/>
      <c r="L822" s="9"/>
      <c r="M822" s="9"/>
      <c r="N822" s="9"/>
    </row>
    <row r="823" spans="1:14" ht="15.75" customHeight="1" x14ac:dyDescent="0.2">
      <c r="A823" s="9"/>
      <c r="B823" s="10"/>
      <c r="C823" s="9"/>
      <c r="D823" s="9"/>
      <c r="E823" s="9"/>
      <c r="F823" s="9"/>
      <c r="G823" s="9"/>
      <c r="H823" s="9"/>
      <c r="I823" s="9"/>
      <c r="J823" s="9"/>
      <c r="K823" s="9"/>
      <c r="L823" s="9"/>
      <c r="M823" s="9"/>
      <c r="N823" s="9"/>
    </row>
    <row r="824" spans="1:14" ht="15.75" customHeight="1" x14ac:dyDescent="0.2">
      <c r="A824" s="9"/>
      <c r="B824" s="10"/>
      <c r="C824" s="9"/>
      <c r="D824" s="9"/>
      <c r="E824" s="9"/>
      <c r="F824" s="9"/>
      <c r="G824" s="9"/>
      <c r="H824" s="9"/>
      <c r="I824" s="9"/>
      <c r="J824" s="9"/>
      <c r="K824" s="9"/>
      <c r="L824" s="9"/>
      <c r="M824" s="9"/>
      <c r="N824" s="9"/>
    </row>
    <row r="825" spans="1:14" ht="15.75" customHeight="1" x14ac:dyDescent="0.2">
      <c r="A825" s="9"/>
      <c r="B825" s="10"/>
      <c r="C825" s="9"/>
      <c r="D825" s="9"/>
      <c r="E825" s="9"/>
      <c r="F825" s="9"/>
      <c r="G825" s="9"/>
      <c r="H825" s="9"/>
      <c r="I825" s="9"/>
      <c r="J825" s="9"/>
      <c r="K825" s="9"/>
      <c r="L825" s="9"/>
      <c r="M825" s="9"/>
      <c r="N825" s="9"/>
    </row>
    <row r="826" spans="1:14" ht="15.75" customHeight="1" x14ac:dyDescent="0.2">
      <c r="A826" s="9"/>
      <c r="B826" s="10"/>
      <c r="C826" s="9"/>
      <c r="D826" s="9"/>
      <c r="E826" s="9"/>
      <c r="F826" s="9"/>
      <c r="G826" s="9"/>
      <c r="H826" s="9"/>
      <c r="I826" s="9"/>
      <c r="J826" s="9"/>
      <c r="K826" s="9"/>
      <c r="L826" s="9"/>
      <c r="M826" s="9"/>
      <c r="N826" s="9"/>
    </row>
    <row r="827" spans="1:14" ht="15.75" customHeight="1" x14ac:dyDescent="0.2">
      <c r="A827" s="9"/>
      <c r="B827" s="10"/>
      <c r="C827" s="9"/>
      <c r="D827" s="9"/>
      <c r="E827" s="9"/>
      <c r="F827" s="9"/>
      <c r="G827" s="9"/>
      <c r="H827" s="9"/>
      <c r="I827" s="9"/>
      <c r="J827" s="9"/>
      <c r="K827" s="9"/>
      <c r="L827" s="9"/>
      <c r="M827" s="9"/>
      <c r="N827" s="9"/>
    </row>
    <row r="828" spans="1:14" ht="15.75" customHeight="1" x14ac:dyDescent="0.2">
      <c r="A828" s="9"/>
      <c r="B828" s="10"/>
      <c r="C828" s="9"/>
      <c r="D828" s="9"/>
      <c r="E828" s="9"/>
      <c r="F828" s="9"/>
      <c r="G828" s="9"/>
      <c r="H828" s="9"/>
      <c r="I828" s="9"/>
      <c r="J828" s="9"/>
      <c r="K828" s="9"/>
      <c r="L828" s="9"/>
      <c r="M828" s="9"/>
      <c r="N828" s="9"/>
    </row>
    <row r="829" spans="1:14" ht="15.75" customHeight="1" x14ac:dyDescent="0.2">
      <c r="A829" s="9"/>
      <c r="B829" s="10"/>
      <c r="C829" s="9"/>
      <c r="D829" s="9"/>
      <c r="E829" s="9"/>
      <c r="F829" s="9"/>
      <c r="G829" s="9"/>
      <c r="H829" s="9"/>
      <c r="I829" s="9"/>
      <c r="J829" s="9"/>
      <c r="K829" s="9"/>
      <c r="L829" s="9"/>
      <c r="M829" s="9"/>
      <c r="N829" s="9"/>
    </row>
    <row r="830" spans="1:14" ht="15.75" customHeight="1" x14ac:dyDescent="0.2">
      <c r="A830" s="9"/>
      <c r="B830" s="10"/>
      <c r="C830" s="9"/>
      <c r="D830" s="9"/>
      <c r="E830" s="9"/>
      <c r="F830" s="9"/>
      <c r="G830" s="9"/>
      <c r="H830" s="9"/>
      <c r="I830" s="9"/>
      <c r="J830" s="9"/>
      <c r="K830" s="9"/>
      <c r="L830" s="9"/>
      <c r="M830" s="9"/>
      <c r="N830" s="9"/>
    </row>
    <row r="831" spans="1:14" ht="15.75" customHeight="1" x14ac:dyDescent="0.2">
      <c r="A831" s="9"/>
      <c r="B831" s="10"/>
      <c r="C831" s="9"/>
      <c r="D831" s="9"/>
      <c r="E831" s="9"/>
      <c r="F831" s="9"/>
      <c r="G831" s="9"/>
      <c r="H831" s="9"/>
      <c r="I831" s="9"/>
      <c r="J831" s="9"/>
      <c r="K831" s="9"/>
      <c r="L831" s="9"/>
      <c r="M831" s="9"/>
      <c r="N831" s="9"/>
    </row>
    <row r="832" spans="1:14" ht="15.75" customHeight="1" x14ac:dyDescent="0.2">
      <c r="A832" s="9"/>
      <c r="B832" s="10"/>
      <c r="C832" s="9"/>
      <c r="D832" s="9"/>
      <c r="E832" s="9"/>
      <c r="F832" s="9"/>
      <c r="G832" s="9"/>
      <c r="H832" s="9"/>
      <c r="I832" s="9"/>
      <c r="J832" s="9"/>
      <c r="K832" s="9"/>
      <c r="L832" s="9"/>
      <c r="M832" s="9"/>
      <c r="N832" s="9"/>
    </row>
    <row r="833" spans="1:14" ht="15.75" customHeight="1" x14ac:dyDescent="0.2">
      <c r="A833" s="9"/>
      <c r="B833" s="10"/>
      <c r="C833" s="9"/>
      <c r="D833" s="9"/>
      <c r="E833" s="9"/>
      <c r="F833" s="9"/>
      <c r="G833" s="9"/>
      <c r="H833" s="9"/>
      <c r="I833" s="9"/>
      <c r="J833" s="9"/>
      <c r="K833" s="9"/>
      <c r="L833" s="9"/>
      <c r="M833" s="9"/>
      <c r="N833" s="9"/>
    </row>
    <row r="834" spans="1:14" ht="15.75" customHeight="1" x14ac:dyDescent="0.2">
      <c r="A834" s="9"/>
      <c r="B834" s="10"/>
      <c r="C834" s="9"/>
      <c r="D834" s="9"/>
      <c r="E834" s="9"/>
      <c r="F834" s="9"/>
      <c r="G834" s="9"/>
      <c r="H834" s="9"/>
      <c r="I834" s="9"/>
      <c r="J834" s="9"/>
      <c r="K834" s="9"/>
      <c r="L834" s="9"/>
      <c r="M834" s="9"/>
      <c r="N834" s="9"/>
    </row>
    <row r="835" spans="1:14" ht="15.75" customHeight="1" x14ac:dyDescent="0.2">
      <c r="A835" s="9"/>
      <c r="B835" s="10"/>
      <c r="C835" s="9"/>
      <c r="D835" s="9"/>
      <c r="E835" s="9"/>
      <c r="F835" s="9"/>
      <c r="G835" s="9"/>
      <c r="H835" s="9"/>
      <c r="I835" s="9"/>
      <c r="J835" s="9"/>
      <c r="K835" s="9"/>
      <c r="L835" s="9"/>
      <c r="M835" s="9"/>
      <c r="N835" s="9"/>
    </row>
    <row r="836" spans="1:14" ht="15.75" customHeight="1" x14ac:dyDescent="0.2">
      <c r="A836" s="9"/>
      <c r="B836" s="10"/>
      <c r="C836" s="9"/>
      <c r="D836" s="9"/>
      <c r="E836" s="9"/>
      <c r="F836" s="9"/>
      <c r="G836" s="9"/>
      <c r="H836" s="9"/>
      <c r="I836" s="9"/>
      <c r="J836" s="9"/>
      <c r="K836" s="9"/>
      <c r="L836" s="9"/>
      <c r="M836" s="9"/>
      <c r="N836" s="9"/>
    </row>
    <row r="837" spans="1:14" ht="15.75" customHeight="1" x14ac:dyDescent="0.2">
      <c r="A837" s="9"/>
      <c r="B837" s="10"/>
      <c r="C837" s="9"/>
      <c r="D837" s="9"/>
      <c r="E837" s="9"/>
      <c r="F837" s="9"/>
      <c r="G837" s="9"/>
      <c r="H837" s="9"/>
      <c r="I837" s="9"/>
      <c r="J837" s="9"/>
      <c r="K837" s="9"/>
      <c r="L837" s="9"/>
      <c r="M837" s="9"/>
      <c r="N837" s="9"/>
    </row>
    <row r="838" spans="1:14" ht="15.75" customHeight="1" x14ac:dyDescent="0.2">
      <c r="A838" s="9"/>
      <c r="B838" s="10"/>
      <c r="C838" s="9"/>
      <c r="D838" s="9"/>
      <c r="E838" s="9"/>
      <c r="F838" s="9"/>
      <c r="G838" s="9"/>
      <c r="H838" s="9"/>
      <c r="I838" s="9"/>
      <c r="J838" s="9"/>
      <c r="K838" s="9"/>
      <c r="L838" s="9"/>
      <c r="M838" s="9"/>
      <c r="N838" s="9"/>
    </row>
    <row r="839" spans="1:14" ht="15.75" customHeight="1" x14ac:dyDescent="0.2">
      <c r="A839" s="9"/>
      <c r="B839" s="10"/>
      <c r="C839" s="9"/>
      <c r="D839" s="9"/>
      <c r="E839" s="9"/>
      <c r="F839" s="9"/>
      <c r="G839" s="9"/>
      <c r="H839" s="9"/>
      <c r="I839" s="9"/>
      <c r="J839" s="9"/>
      <c r="K839" s="9"/>
      <c r="L839" s="9"/>
      <c r="M839" s="9"/>
      <c r="N839" s="9"/>
    </row>
    <row r="840" spans="1:14" ht="15.75" customHeight="1" x14ac:dyDescent="0.2">
      <c r="A840" s="9"/>
      <c r="B840" s="10"/>
      <c r="C840" s="9"/>
      <c r="D840" s="9"/>
      <c r="E840" s="9"/>
      <c r="F840" s="9"/>
      <c r="G840" s="9"/>
      <c r="H840" s="9"/>
      <c r="I840" s="9"/>
      <c r="J840" s="9"/>
      <c r="K840" s="9"/>
      <c r="L840" s="9"/>
      <c r="M840" s="9"/>
      <c r="N840" s="9"/>
    </row>
    <row r="841" spans="1:14" ht="15.75" customHeight="1" x14ac:dyDescent="0.2">
      <c r="A841" s="9"/>
      <c r="B841" s="10"/>
      <c r="C841" s="9"/>
      <c r="D841" s="9"/>
      <c r="E841" s="9"/>
      <c r="F841" s="9"/>
      <c r="G841" s="9"/>
      <c r="H841" s="9"/>
      <c r="I841" s="9"/>
      <c r="J841" s="9"/>
      <c r="K841" s="9"/>
      <c r="L841" s="9"/>
      <c r="M841" s="9"/>
      <c r="N841" s="9"/>
    </row>
    <row r="842" spans="1:14" ht="15.75" customHeight="1" x14ac:dyDescent="0.2">
      <c r="A842" s="9"/>
      <c r="B842" s="10"/>
      <c r="C842" s="9"/>
      <c r="D842" s="9"/>
      <c r="E842" s="9"/>
      <c r="F842" s="9"/>
      <c r="G842" s="9"/>
      <c r="H842" s="9"/>
      <c r="I842" s="9"/>
      <c r="J842" s="9"/>
      <c r="K842" s="9"/>
      <c r="L842" s="9"/>
      <c r="M842" s="9"/>
      <c r="N842" s="9"/>
    </row>
    <row r="843" spans="1:14" ht="15.75" customHeight="1" x14ac:dyDescent="0.2">
      <c r="A843" s="9"/>
      <c r="B843" s="10"/>
      <c r="C843" s="9"/>
      <c r="D843" s="9"/>
      <c r="E843" s="9"/>
      <c r="F843" s="9"/>
      <c r="G843" s="9"/>
      <c r="H843" s="9"/>
      <c r="I843" s="9"/>
      <c r="J843" s="9"/>
      <c r="K843" s="9"/>
      <c r="L843" s="9"/>
      <c r="M843" s="9"/>
      <c r="N843" s="9"/>
    </row>
    <row r="844" spans="1:14" ht="15.75" customHeight="1" x14ac:dyDescent="0.2">
      <c r="A844" s="9"/>
      <c r="B844" s="10"/>
      <c r="C844" s="9"/>
      <c r="D844" s="9"/>
      <c r="E844" s="9"/>
      <c r="F844" s="9"/>
      <c r="G844" s="9"/>
      <c r="H844" s="9"/>
      <c r="I844" s="9"/>
      <c r="J844" s="9"/>
      <c r="K844" s="9"/>
      <c r="L844" s="9"/>
      <c r="M844" s="9"/>
      <c r="N844" s="9"/>
    </row>
    <row r="845" spans="1:14" ht="15.75" customHeight="1" x14ac:dyDescent="0.2">
      <c r="A845" s="9"/>
      <c r="B845" s="10"/>
      <c r="C845" s="9"/>
      <c r="D845" s="9"/>
      <c r="E845" s="9"/>
      <c r="F845" s="9"/>
      <c r="G845" s="9"/>
      <c r="H845" s="9"/>
      <c r="I845" s="9"/>
      <c r="J845" s="9"/>
      <c r="K845" s="9"/>
      <c r="L845" s="9"/>
      <c r="M845" s="9"/>
      <c r="N845" s="9"/>
    </row>
    <row r="846" spans="1:14" ht="15.75" customHeight="1" x14ac:dyDescent="0.2">
      <c r="A846" s="9"/>
      <c r="B846" s="10"/>
      <c r="C846" s="9"/>
      <c r="D846" s="9"/>
      <c r="E846" s="9"/>
      <c r="F846" s="9"/>
      <c r="G846" s="9"/>
      <c r="H846" s="9"/>
      <c r="I846" s="9"/>
      <c r="J846" s="9"/>
      <c r="K846" s="9"/>
      <c r="L846" s="9"/>
      <c r="M846" s="9"/>
      <c r="N846" s="9"/>
    </row>
    <row r="847" spans="1:14" ht="15.75" customHeight="1" x14ac:dyDescent="0.2">
      <c r="A847" s="9"/>
      <c r="B847" s="10"/>
      <c r="C847" s="9"/>
      <c r="D847" s="9"/>
      <c r="E847" s="9"/>
      <c r="F847" s="9"/>
      <c r="G847" s="9"/>
      <c r="H847" s="9"/>
      <c r="I847" s="9"/>
      <c r="J847" s="9"/>
      <c r="K847" s="9"/>
      <c r="L847" s="9"/>
      <c r="M847" s="9"/>
      <c r="N847" s="9"/>
    </row>
    <row r="848" spans="1:14" ht="15.75" customHeight="1" x14ac:dyDescent="0.2">
      <c r="A848" s="9"/>
      <c r="B848" s="10"/>
      <c r="C848" s="9"/>
      <c r="D848" s="9"/>
      <c r="E848" s="9"/>
      <c r="F848" s="9"/>
      <c r="G848" s="9"/>
      <c r="H848" s="9"/>
      <c r="I848" s="9"/>
      <c r="J848" s="9"/>
      <c r="K848" s="9"/>
      <c r="L848" s="9"/>
      <c r="M848" s="9"/>
      <c r="N848" s="9"/>
    </row>
    <row r="849" spans="1:14" ht="15.75" customHeight="1" x14ac:dyDescent="0.2">
      <c r="A849" s="9"/>
      <c r="B849" s="10"/>
      <c r="C849" s="9"/>
      <c r="D849" s="9"/>
      <c r="E849" s="9"/>
      <c r="F849" s="9"/>
      <c r="G849" s="9"/>
      <c r="H849" s="9"/>
      <c r="I849" s="9"/>
      <c r="J849" s="9"/>
      <c r="K849" s="9"/>
      <c r="L849" s="9"/>
      <c r="M849" s="9"/>
      <c r="N849" s="9"/>
    </row>
    <row r="850" spans="1:14" ht="15.75" customHeight="1" x14ac:dyDescent="0.2">
      <c r="A850" s="9"/>
      <c r="B850" s="10"/>
      <c r="C850" s="9"/>
      <c r="D850" s="9"/>
      <c r="E850" s="9"/>
      <c r="F850" s="9"/>
      <c r="G850" s="9"/>
      <c r="H850" s="9"/>
      <c r="I850" s="9"/>
      <c r="J850" s="9"/>
      <c r="K850" s="9"/>
      <c r="L850" s="9"/>
      <c r="M850" s="9"/>
      <c r="N850" s="9"/>
    </row>
    <row r="851" spans="1:14" ht="15.75" customHeight="1" x14ac:dyDescent="0.2">
      <c r="A851" s="9"/>
      <c r="B851" s="10"/>
      <c r="C851" s="9"/>
      <c r="D851" s="9"/>
      <c r="E851" s="9"/>
      <c r="F851" s="9"/>
      <c r="G851" s="9"/>
      <c r="H851" s="9"/>
      <c r="I851" s="9"/>
      <c r="J851" s="9"/>
      <c r="K851" s="9"/>
      <c r="L851" s="9"/>
      <c r="M851" s="9"/>
      <c r="N851" s="9"/>
    </row>
    <row r="852" spans="1:14" ht="15.75" customHeight="1" x14ac:dyDescent="0.2">
      <c r="A852" s="9"/>
      <c r="B852" s="10"/>
      <c r="C852" s="9"/>
      <c r="D852" s="9"/>
      <c r="E852" s="9"/>
      <c r="F852" s="9"/>
      <c r="G852" s="9"/>
      <c r="H852" s="9"/>
      <c r="I852" s="9"/>
      <c r="J852" s="9"/>
      <c r="K852" s="9"/>
      <c r="L852" s="9"/>
      <c r="M852" s="9"/>
      <c r="N852" s="9"/>
    </row>
    <row r="853" spans="1:14" ht="15.75" customHeight="1" x14ac:dyDescent="0.2">
      <c r="A853" s="9"/>
      <c r="B853" s="10"/>
      <c r="C853" s="9"/>
      <c r="D853" s="9"/>
      <c r="E853" s="9"/>
      <c r="F853" s="9"/>
      <c r="G853" s="9"/>
      <c r="H853" s="9"/>
      <c r="I853" s="9"/>
      <c r="J853" s="9"/>
      <c r="K853" s="9"/>
      <c r="L853" s="9"/>
      <c r="M853" s="9"/>
      <c r="N853" s="9"/>
    </row>
    <row r="854" spans="1:14" ht="15.75" customHeight="1" x14ac:dyDescent="0.2">
      <c r="A854" s="9"/>
      <c r="B854" s="10"/>
      <c r="C854" s="9"/>
      <c r="D854" s="9"/>
      <c r="E854" s="9"/>
      <c r="F854" s="9"/>
      <c r="G854" s="9"/>
      <c r="H854" s="9"/>
      <c r="I854" s="9"/>
      <c r="J854" s="9"/>
      <c r="K854" s="9"/>
      <c r="L854" s="9"/>
      <c r="M854" s="9"/>
      <c r="N854" s="9"/>
    </row>
    <row r="855" spans="1:14" ht="15.75" customHeight="1" x14ac:dyDescent="0.2">
      <c r="A855" s="9"/>
      <c r="B855" s="10"/>
      <c r="C855" s="9"/>
      <c r="D855" s="9"/>
      <c r="E855" s="9"/>
      <c r="F855" s="9"/>
      <c r="G855" s="9"/>
      <c r="H855" s="9"/>
      <c r="I855" s="9"/>
      <c r="J855" s="9"/>
      <c r="K855" s="9"/>
      <c r="L855" s="9"/>
      <c r="M855" s="9"/>
      <c r="N855" s="9"/>
    </row>
    <row r="856" spans="1:14" ht="15.75" customHeight="1" x14ac:dyDescent="0.2">
      <c r="A856" s="9"/>
      <c r="B856" s="10"/>
      <c r="C856" s="9"/>
      <c r="D856" s="9"/>
      <c r="E856" s="9"/>
      <c r="F856" s="9"/>
      <c r="G856" s="9"/>
      <c r="H856" s="9"/>
      <c r="I856" s="9"/>
      <c r="J856" s="9"/>
      <c r="K856" s="9"/>
      <c r="L856" s="9"/>
      <c r="M856" s="9"/>
      <c r="N856" s="9"/>
    </row>
    <row r="857" spans="1:14" ht="15.75" customHeight="1" x14ac:dyDescent="0.2">
      <c r="A857" s="9"/>
      <c r="B857" s="10"/>
      <c r="C857" s="9"/>
      <c r="D857" s="9"/>
      <c r="E857" s="9"/>
      <c r="F857" s="9"/>
      <c r="G857" s="9"/>
      <c r="H857" s="9"/>
      <c r="I857" s="9"/>
      <c r="J857" s="9"/>
      <c r="K857" s="9"/>
      <c r="L857" s="9"/>
      <c r="M857" s="9"/>
      <c r="N857" s="9"/>
    </row>
    <row r="858" spans="1:14" ht="15.75" customHeight="1" x14ac:dyDescent="0.2">
      <c r="A858" s="9"/>
      <c r="B858" s="10"/>
      <c r="C858" s="9"/>
      <c r="D858" s="9"/>
      <c r="E858" s="9"/>
      <c r="F858" s="9"/>
      <c r="G858" s="9"/>
      <c r="H858" s="9"/>
      <c r="I858" s="9"/>
      <c r="J858" s="9"/>
      <c r="K858" s="9"/>
      <c r="L858" s="9"/>
      <c r="M858" s="9"/>
      <c r="N858" s="9"/>
    </row>
    <row r="859" spans="1:14" ht="15.75" customHeight="1" x14ac:dyDescent="0.2">
      <c r="A859" s="9"/>
      <c r="B859" s="10"/>
      <c r="C859" s="9"/>
      <c r="D859" s="9"/>
      <c r="E859" s="9"/>
      <c r="F859" s="9"/>
      <c r="G859" s="9"/>
      <c r="H859" s="9"/>
      <c r="I859" s="9"/>
      <c r="J859" s="9"/>
      <c r="K859" s="9"/>
      <c r="L859" s="9"/>
      <c r="M859" s="9"/>
      <c r="N859" s="9"/>
    </row>
    <row r="860" spans="1:14" ht="15.75" customHeight="1" x14ac:dyDescent="0.2">
      <c r="A860" s="9"/>
      <c r="B860" s="10"/>
      <c r="C860" s="9"/>
      <c r="D860" s="9"/>
      <c r="E860" s="9"/>
      <c r="F860" s="9"/>
      <c r="G860" s="9"/>
      <c r="H860" s="9"/>
      <c r="I860" s="9"/>
      <c r="J860" s="9"/>
      <c r="K860" s="9"/>
      <c r="L860" s="9"/>
      <c r="M860" s="9"/>
      <c r="N860" s="9"/>
    </row>
    <row r="861" spans="1:14" ht="15.75" customHeight="1" x14ac:dyDescent="0.2">
      <c r="A861" s="9"/>
      <c r="B861" s="10"/>
      <c r="C861" s="9"/>
      <c r="D861" s="9"/>
      <c r="E861" s="9"/>
      <c r="F861" s="9"/>
      <c r="G861" s="9"/>
      <c r="H861" s="9"/>
      <c r="I861" s="9"/>
      <c r="J861" s="9"/>
      <c r="K861" s="9"/>
      <c r="L861" s="9"/>
      <c r="M861" s="9"/>
      <c r="N861" s="9"/>
    </row>
    <row r="862" spans="1:14" ht="15.75" customHeight="1" x14ac:dyDescent="0.2">
      <c r="A862" s="9"/>
      <c r="B862" s="10"/>
      <c r="C862" s="9"/>
      <c r="D862" s="9"/>
      <c r="E862" s="9"/>
      <c r="F862" s="9"/>
      <c r="G862" s="9"/>
      <c r="H862" s="9"/>
      <c r="I862" s="9"/>
      <c r="J862" s="9"/>
      <c r="K862" s="9"/>
      <c r="L862" s="9"/>
      <c r="M862" s="9"/>
      <c r="N862" s="9"/>
    </row>
    <row r="863" spans="1:14" ht="15.75" customHeight="1" x14ac:dyDescent="0.2">
      <c r="A863" s="9"/>
      <c r="B863" s="10"/>
      <c r="C863" s="9"/>
      <c r="D863" s="9"/>
      <c r="E863" s="9"/>
      <c r="F863" s="9"/>
      <c r="G863" s="9"/>
      <c r="H863" s="9"/>
      <c r="I863" s="9"/>
      <c r="J863" s="9"/>
      <c r="K863" s="9"/>
      <c r="L863" s="9"/>
      <c r="M863" s="9"/>
      <c r="N863" s="9"/>
    </row>
    <row r="864" spans="1:14" ht="15.75" customHeight="1" x14ac:dyDescent="0.2">
      <c r="A864" s="9"/>
      <c r="B864" s="10"/>
      <c r="C864" s="9"/>
      <c r="D864" s="9"/>
      <c r="E864" s="9"/>
      <c r="F864" s="9"/>
      <c r="G864" s="9"/>
      <c r="H864" s="9"/>
      <c r="I864" s="9"/>
      <c r="J864" s="9"/>
      <c r="K864" s="9"/>
      <c r="L864" s="9"/>
      <c r="M864" s="9"/>
      <c r="N864" s="9"/>
    </row>
    <row r="865" spans="1:14" ht="15.75" customHeight="1" x14ac:dyDescent="0.2">
      <c r="A865" s="9"/>
      <c r="B865" s="10"/>
      <c r="C865" s="9"/>
      <c r="D865" s="9"/>
      <c r="E865" s="9"/>
      <c r="F865" s="9"/>
      <c r="G865" s="9"/>
      <c r="H865" s="9"/>
      <c r="I865" s="9"/>
      <c r="J865" s="9"/>
      <c r="K865" s="9"/>
      <c r="L865" s="9"/>
      <c r="M865" s="9"/>
      <c r="N865" s="9"/>
    </row>
    <row r="866" spans="1:14" ht="15.75" customHeight="1" x14ac:dyDescent="0.2">
      <c r="A866" s="9"/>
      <c r="B866" s="10"/>
      <c r="C866" s="9"/>
      <c r="D866" s="9"/>
      <c r="E866" s="9"/>
      <c r="F866" s="9"/>
      <c r="G866" s="9"/>
      <c r="H866" s="9"/>
      <c r="I866" s="9"/>
      <c r="J866" s="9"/>
      <c r="K866" s="9"/>
      <c r="L866" s="9"/>
      <c r="M866" s="9"/>
      <c r="N866" s="9"/>
    </row>
    <row r="867" spans="1:14" ht="15.75" customHeight="1" x14ac:dyDescent="0.2">
      <c r="A867" s="9"/>
      <c r="B867" s="10"/>
      <c r="C867" s="9"/>
      <c r="D867" s="9"/>
      <c r="E867" s="9"/>
      <c r="F867" s="9"/>
      <c r="G867" s="9"/>
      <c r="H867" s="9"/>
      <c r="I867" s="9"/>
      <c r="J867" s="9"/>
      <c r="K867" s="9"/>
      <c r="L867" s="9"/>
      <c r="M867" s="9"/>
      <c r="N867" s="9"/>
    </row>
    <row r="868" spans="1:14" ht="15.75" customHeight="1" x14ac:dyDescent="0.2">
      <c r="A868" s="9"/>
      <c r="B868" s="10"/>
      <c r="C868" s="9"/>
      <c r="D868" s="9"/>
      <c r="E868" s="9"/>
      <c r="F868" s="9"/>
      <c r="G868" s="9"/>
      <c r="H868" s="9"/>
      <c r="I868" s="9"/>
      <c r="J868" s="9"/>
      <c r="K868" s="9"/>
      <c r="L868" s="9"/>
      <c r="M868" s="9"/>
      <c r="N868" s="9"/>
    </row>
    <row r="869" spans="1:14" ht="15.75" customHeight="1" x14ac:dyDescent="0.2">
      <c r="A869" s="9"/>
      <c r="B869" s="10"/>
      <c r="C869" s="9"/>
      <c r="D869" s="9"/>
      <c r="E869" s="9"/>
      <c r="F869" s="9"/>
      <c r="G869" s="9"/>
      <c r="H869" s="9"/>
      <c r="I869" s="9"/>
      <c r="J869" s="9"/>
      <c r="K869" s="9"/>
      <c r="L869" s="9"/>
      <c r="M869" s="9"/>
      <c r="N869" s="9"/>
    </row>
    <row r="870" spans="1:14" ht="15.75" customHeight="1" x14ac:dyDescent="0.2">
      <c r="A870" s="9"/>
      <c r="B870" s="10"/>
      <c r="C870" s="9"/>
      <c r="D870" s="9"/>
      <c r="E870" s="9"/>
      <c r="F870" s="9"/>
      <c r="G870" s="9"/>
      <c r="H870" s="9"/>
      <c r="I870" s="9"/>
      <c r="J870" s="9"/>
      <c r="K870" s="9"/>
      <c r="L870" s="9"/>
      <c r="M870" s="9"/>
      <c r="N870" s="9"/>
    </row>
    <row r="871" spans="1:14" ht="15.75" customHeight="1" x14ac:dyDescent="0.2">
      <c r="A871" s="9"/>
      <c r="B871" s="10"/>
      <c r="C871" s="9"/>
      <c r="D871" s="9"/>
      <c r="E871" s="9"/>
      <c r="F871" s="9"/>
      <c r="G871" s="9"/>
      <c r="H871" s="9"/>
      <c r="I871" s="9"/>
      <c r="J871" s="9"/>
      <c r="K871" s="9"/>
      <c r="L871" s="9"/>
      <c r="M871" s="9"/>
      <c r="N871" s="9"/>
    </row>
    <row r="872" spans="1:14" ht="15.75" customHeight="1" x14ac:dyDescent="0.2">
      <c r="A872" s="9"/>
      <c r="B872" s="10"/>
      <c r="C872" s="9"/>
      <c r="D872" s="9"/>
      <c r="E872" s="9"/>
      <c r="F872" s="9"/>
      <c r="G872" s="9"/>
      <c r="H872" s="9"/>
      <c r="I872" s="9"/>
      <c r="J872" s="9"/>
      <c r="K872" s="9"/>
      <c r="L872" s="9"/>
      <c r="M872" s="9"/>
      <c r="N872" s="9"/>
    </row>
    <row r="873" spans="1:14" ht="15.75" customHeight="1" x14ac:dyDescent="0.2">
      <c r="A873" s="9"/>
      <c r="B873" s="10"/>
      <c r="C873" s="9"/>
      <c r="D873" s="9"/>
      <c r="E873" s="9"/>
      <c r="F873" s="9"/>
      <c r="G873" s="9"/>
      <c r="H873" s="9"/>
      <c r="I873" s="9"/>
      <c r="J873" s="9"/>
      <c r="K873" s="9"/>
      <c r="L873" s="9"/>
      <c r="M873" s="9"/>
      <c r="N873" s="9"/>
    </row>
    <row r="874" spans="1:14" ht="15.75" customHeight="1" x14ac:dyDescent="0.2">
      <c r="A874" s="9"/>
      <c r="B874" s="10"/>
      <c r="C874" s="9"/>
      <c r="D874" s="9"/>
      <c r="E874" s="9"/>
      <c r="F874" s="9"/>
      <c r="G874" s="9"/>
      <c r="H874" s="9"/>
      <c r="I874" s="9"/>
      <c r="J874" s="9"/>
      <c r="K874" s="9"/>
      <c r="L874" s="9"/>
      <c r="M874" s="9"/>
      <c r="N874" s="9"/>
    </row>
    <row r="875" spans="1:14" ht="15.75" customHeight="1" x14ac:dyDescent="0.2">
      <c r="A875" s="9"/>
      <c r="B875" s="10"/>
      <c r="C875" s="9"/>
      <c r="D875" s="9"/>
      <c r="E875" s="9"/>
      <c r="F875" s="9"/>
      <c r="G875" s="9"/>
      <c r="H875" s="9"/>
      <c r="I875" s="9"/>
      <c r="J875" s="9"/>
      <c r="K875" s="9"/>
      <c r="L875" s="9"/>
      <c r="M875" s="9"/>
      <c r="N875" s="9"/>
    </row>
    <row r="876" spans="1:14" ht="15.75" customHeight="1" x14ac:dyDescent="0.2">
      <c r="A876" s="9"/>
      <c r="B876" s="10"/>
      <c r="C876" s="9"/>
      <c r="D876" s="9"/>
      <c r="E876" s="9"/>
      <c r="F876" s="9"/>
      <c r="G876" s="9"/>
      <c r="H876" s="9"/>
      <c r="I876" s="9"/>
      <c r="J876" s="9"/>
      <c r="K876" s="9"/>
      <c r="L876" s="9"/>
      <c r="M876" s="9"/>
      <c r="N876" s="9"/>
    </row>
    <row r="877" spans="1:14" ht="15.75" customHeight="1" x14ac:dyDescent="0.2">
      <c r="A877" s="9"/>
      <c r="B877" s="10"/>
      <c r="C877" s="9"/>
      <c r="D877" s="9"/>
      <c r="E877" s="9"/>
      <c r="F877" s="9"/>
      <c r="G877" s="9"/>
      <c r="H877" s="9"/>
      <c r="I877" s="9"/>
      <c r="J877" s="9"/>
      <c r="K877" s="9"/>
      <c r="L877" s="9"/>
      <c r="M877" s="9"/>
      <c r="N877" s="9"/>
    </row>
    <row r="878" spans="1:14" ht="15.75" customHeight="1" x14ac:dyDescent="0.2">
      <c r="A878" s="9"/>
      <c r="B878" s="10"/>
      <c r="C878" s="9"/>
      <c r="D878" s="9"/>
      <c r="E878" s="9"/>
      <c r="F878" s="9"/>
      <c r="G878" s="9"/>
      <c r="H878" s="9"/>
      <c r="I878" s="9"/>
      <c r="J878" s="9"/>
      <c r="K878" s="9"/>
      <c r="L878" s="9"/>
      <c r="M878" s="9"/>
      <c r="N878" s="9"/>
    </row>
    <row r="879" spans="1:14" ht="15.75" customHeight="1" x14ac:dyDescent="0.2">
      <c r="A879" s="9"/>
      <c r="B879" s="10"/>
      <c r="C879" s="9"/>
      <c r="D879" s="9"/>
      <c r="E879" s="9"/>
      <c r="F879" s="9"/>
      <c r="G879" s="9"/>
      <c r="H879" s="9"/>
      <c r="I879" s="9"/>
      <c r="J879" s="9"/>
      <c r="K879" s="9"/>
      <c r="L879" s="9"/>
      <c r="M879" s="9"/>
      <c r="N879" s="9"/>
    </row>
    <row r="880" spans="1:14" ht="15.75" customHeight="1" x14ac:dyDescent="0.2">
      <c r="A880" s="9"/>
      <c r="B880" s="10"/>
      <c r="C880" s="9"/>
      <c r="D880" s="9"/>
      <c r="E880" s="9"/>
      <c r="F880" s="9"/>
      <c r="G880" s="9"/>
      <c r="H880" s="9"/>
      <c r="I880" s="9"/>
      <c r="J880" s="9"/>
      <c r="K880" s="9"/>
      <c r="L880" s="9"/>
      <c r="M880" s="9"/>
      <c r="N880" s="9"/>
    </row>
    <row r="881" spans="1:14" ht="15.75" customHeight="1" x14ac:dyDescent="0.2">
      <c r="A881" s="9"/>
      <c r="B881" s="10"/>
      <c r="C881" s="9"/>
      <c r="D881" s="9"/>
      <c r="E881" s="9"/>
      <c r="F881" s="9"/>
      <c r="G881" s="9"/>
      <c r="H881" s="9"/>
      <c r="I881" s="9"/>
      <c r="J881" s="9"/>
      <c r="K881" s="9"/>
      <c r="L881" s="9"/>
      <c r="M881" s="9"/>
      <c r="N881" s="9"/>
    </row>
    <row r="882" spans="1:14" ht="15.75" customHeight="1" x14ac:dyDescent="0.2">
      <c r="A882" s="9"/>
      <c r="B882" s="10"/>
      <c r="C882" s="9"/>
      <c r="D882" s="9"/>
      <c r="E882" s="9"/>
      <c r="F882" s="9"/>
      <c r="G882" s="9"/>
      <c r="H882" s="9"/>
      <c r="I882" s="9"/>
      <c r="J882" s="9"/>
      <c r="K882" s="9"/>
      <c r="L882" s="9"/>
      <c r="M882" s="9"/>
      <c r="N882" s="9"/>
    </row>
    <row r="883" spans="1:14" ht="15.75" customHeight="1" x14ac:dyDescent="0.2">
      <c r="A883" s="9"/>
      <c r="B883" s="10"/>
      <c r="C883" s="9"/>
      <c r="D883" s="9"/>
      <c r="E883" s="9"/>
      <c r="F883" s="9"/>
      <c r="G883" s="9"/>
      <c r="H883" s="9"/>
      <c r="I883" s="9"/>
      <c r="J883" s="9"/>
      <c r="K883" s="9"/>
      <c r="L883" s="9"/>
      <c r="M883" s="9"/>
      <c r="N883" s="9"/>
    </row>
    <row r="884" spans="1:14" ht="15.75" customHeight="1" x14ac:dyDescent="0.2">
      <c r="A884" s="9"/>
      <c r="B884" s="10"/>
      <c r="C884" s="9"/>
      <c r="D884" s="9"/>
      <c r="E884" s="9"/>
      <c r="F884" s="9"/>
      <c r="G884" s="9"/>
      <c r="H884" s="9"/>
      <c r="I884" s="9"/>
      <c r="J884" s="9"/>
      <c r="K884" s="9"/>
      <c r="L884" s="9"/>
      <c r="M884" s="9"/>
      <c r="N884" s="9"/>
    </row>
    <row r="885" spans="1:14" ht="15.75" customHeight="1" x14ac:dyDescent="0.2">
      <c r="A885" s="9"/>
      <c r="B885" s="10"/>
      <c r="C885" s="9"/>
      <c r="D885" s="9"/>
      <c r="E885" s="9"/>
      <c r="F885" s="9"/>
      <c r="G885" s="9"/>
      <c r="H885" s="9"/>
      <c r="I885" s="9"/>
      <c r="J885" s="9"/>
      <c r="K885" s="9"/>
      <c r="L885" s="9"/>
      <c r="M885" s="9"/>
      <c r="N885" s="9"/>
    </row>
    <row r="886" spans="1:14" ht="15.75" customHeight="1" x14ac:dyDescent="0.2">
      <c r="A886" s="9"/>
      <c r="B886" s="10"/>
      <c r="C886" s="9"/>
      <c r="D886" s="9"/>
      <c r="E886" s="9"/>
      <c r="F886" s="9"/>
      <c r="G886" s="9"/>
      <c r="H886" s="9"/>
      <c r="I886" s="9"/>
      <c r="J886" s="9"/>
      <c r="K886" s="9"/>
      <c r="L886" s="9"/>
      <c r="M886" s="9"/>
      <c r="N886" s="9"/>
    </row>
    <row r="887" spans="1:14" ht="15.75" customHeight="1" x14ac:dyDescent="0.2">
      <c r="A887" s="9"/>
      <c r="B887" s="10"/>
      <c r="C887" s="9"/>
      <c r="D887" s="9"/>
      <c r="E887" s="9"/>
      <c r="F887" s="9"/>
      <c r="G887" s="9"/>
      <c r="H887" s="9"/>
      <c r="I887" s="9"/>
      <c r="J887" s="9"/>
      <c r="K887" s="9"/>
      <c r="L887" s="9"/>
      <c r="M887" s="9"/>
      <c r="N887" s="9"/>
    </row>
    <row r="888" spans="1:14" ht="15.75" customHeight="1" x14ac:dyDescent="0.2">
      <c r="A888" s="9"/>
      <c r="B888" s="10"/>
      <c r="C888" s="9"/>
      <c r="D888" s="9"/>
      <c r="E888" s="9"/>
      <c r="F888" s="9"/>
      <c r="G888" s="9"/>
      <c r="H888" s="9"/>
      <c r="I888" s="9"/>
      <c r="J888" s="9"/>
      <c r="K888" s="9"/>
      <c r="L888" s="9"/>
      <c r="M888" s="9"/>
      <c r="N888" s="9"/>
    </row>
    <row r="889" spans="1:14" ht="15.75" customHeight="1" x14ac:dyDescent="0.2">
      <c r="A889" s="9"/>
      <c r="B889" s="10"/>
      <c r="C889" s="9"/>
      <c r="D889" s="9"/>
      <c r="E889" s="9"/>
      <c r="F889" s="9"/>
      <c r="G889" s="9"/>
      <c r="H889" s="9"/>
      <c r="I889" s="9"/>
      <c r="J889" s="9"/>
      <c r="K889" s="9"/>
      <c r="L889" s="9"/>
      <c r="M889" s="9"/>
      <c r="N889" s="9"/>
    </row>
    <row r="890" spans="1:14" ht="15.75" customHeight="1" x14ac:dyDescent="0.2">
      <c r="A890" s="9"/>
      <c r="B890" s="10"/>
      <c r="C890" s="9"/>
      <c r="D890" s="9"/>
      <c r="E890" s="9"/>
      <c r="F890" s="9"/>
      <c r="G890" s="9"/>
      <c r="H890" s="9"/>
      <c r="I890" s="9"/>
      <c r="J890" s="9"/>
      <c r="K890" s="9"/>
      <c r="L890" s="9"/>
      <c r="M890" s="9"/>
      <c r="N890" s="9"/>
    </row>
    <row r="891" spans="1:14" ht="15.75" customHeight="1" x14ac:dyDescent="0.2">
      <c r="A891" s="9"/>
      <c r="B891" s="10"/>
      <c r="C891" s="9"/>
      <c r="D891" s="9"/>
      <c r="E891" s="9"/>
      <c r="F891" s="9"/>
      <c r="G891" s="9"/>
      <c r="H891" s="9"/>
      <c r="I891" s="9"/>
      <c r="J891" s="9"/>
      <c r="K891" s="9"/>
      <c r="L891" s="9"/>
      <c r="M891" s="9"/>
      <c r="N891" s="9"/>
    </row>
    <row r="892" spans="1:14" ht="15.75" customHeight="1" x14ac:dyDescent="0.2">
      <c r="A892" s="9"/>
      <c r="B892" s="10"/>
      <c r="C892" s="9"/>
      <c r="D892" s="9"/>
      <c r="E892" s="9"/>
      <c r="F892" s="9"/>
      <c r="G892" s="9"/>
      <c r="H892" s="9"/>
      <c r="I892" s="9"/>
      <c r="J892" s="9"/>
      <c r="K892" s="9"/>
      <c r="L892" s="9"/>
      <c r="M892" s="9"/>
      <c r="N892" s="9"/>
    </row>
    <row r="893" spans="1:14" ht="15.75" customHeight="1" x14ac:dyDescent="0.2">
      <c r="A893" s="9"/>
      <c r="B893" s="10"/>
      <c r="C893" s="9"/>
      <c r="D893" s="9"/>
      <c r="E893" s="9"/>
      <c r="F893" s="9"/>
      <c r="G893" s="9"/>
      <c r="H893" s="9"/>
      <c r="I893" s="9"/>
      <c r="J893" s="9"/>
      <c r="K893" s="9"/>
      <c r="L893" s="9"/>
      <c r="M893" s="9"/>
      <c r="N893" s="9"/>
    </row>
    <row r="894" spans="1:14" ht="15.75" customHeight="1" x14ac:dyDescent="0.2">
      <c r="A894" s="9"/>
      <c r="B894" s="10"/>
      <c r="C894" s="9"/>
      <c r="D894" s="9"/>
      <c r="E894" s="9"/>
      <c r="F894" s="9"/>
      <c r="G894" s="9"/>
      <c r="H894" s="9"/>
      <c r="I894" s="9"/>
      <c r="J894" s="9"/>
      <c r="K894" s="9"/>
      <c r="L894" s="9"/>
      <c r="M894" s="9"/>
      <c r="N894" s="9"/>
    </row>
    <row r="895" spans="1:14" ht="15.75" customHeight="1" x14ac:dyDescent="0.2">
      <c r="A895" s="9"/>
      <c r="B895" s="10"/>
      <c r="C895" s="9"/>
      <c r="D895" s="9"/>
      <c r="E895" s="9"/>
      <c r="F895" s="9"/>
      <c r="G895" s="9"/>
      <c r="H895" s="9"/>
      <c r="I895" s="9"/>
      <c r="J895" s="9"/>
      <c r="K895" s="9"/>
      <c r="L895" s="9"/>
      <c r="M895" s="9"/>
      <c r="N895" s="9"/>
    </row>
    <row r="896" spans="1:14" ht="15.75" customHeight="1" x14ac:dyDescent="0.2">
      <c r="A896" s="9"/>
      <c r="B896" s="10"/>
      <c r="C896" s="9"/>
      <c r="D896" s="9"/>
      <c r="E896" s="9"/>
      <c r="F896" s="9"/>
      <c r="G896" s="9"/>
      <c r="H896" s="9"/>
      <c r="I896" s="9"/>
      <c r="J896" s="9"/>
      <c r="K896" s="9"/>
      <c r="L896" s="9"/>
      <c r="M896" s="9"/>
      <c r="N896" s="9"/>
    </row>
    <row r="897" spans="1:14" ht="15.75" customHeight="1" x14ac:dyDescent="0.2">
      <c r="A897" s="9"/>
      <c r="B897" s="10"/>
      <c r="C897" s="9"/>
      <c r="D897" s="9"/>
      <c r="E897" s="9"/>
      <c r="F897" s="9"/>
      <c r="G897" s="9"/>
      <c r="H897" s="9"/>
      <c r="I897" s="9"/>
      <c r="J897" s="9"/>
      <c r="K897" s="9"/>
      <c r="L897" s="9"/>
      <c r="M897" s="9"/>
      <c r="N897" s="9"/>
    </row>
    <row r="898" spans="1:14" ht="15.75" customHeight="1" x14ac:dyDescent="0.2">
      <c r="A898" s="9"/>
      <c r="B898" s="10"/>
      <c r="C898" s="9"/>
      <c r="D898" s="9"/>
      <c r="E898" s="9"/>
      <c r="F898" s="9"/>
      <c r="G898" s="9"/>
      <c r="H898" s="9"/>
      <c r="I898" s="9"/>
      <c r="J898" s="9"/>
      <c r="K898" s="9"/>
      <c r="L898" s="9"/>
      <c r="M898" s="9"/>
      <c r="N898" s="9"/>
    </row>
    <row r="899" spans="1:14" ht="15.75" customHeight="1" x14ac:dyDescent="0.2">
      <c r="A899" s="9"/>
      <c r="B899" s="10"/>
      <c r="C899" s="9"/>
      <c r="D899" s="9"/>
      <c r="E899" s="9"/>
      <c r="F899" s="9"/>
      <c r="G899" s="9"/>
      <c r="H899" s="9"/>
      <c r="I899" s="9"/>
      <c r="J899" s="9"/>
      <c r="K899" s="9"/>
      <c r="L899" s="9"/>
      <c r="M899" s="9"/>
      <c r="N899" s="9"/>
    </row>
    <row r="900" spans="1:14" ht="15.75" customHeight="1" x14ac:dyDescent="0.2">
      <c r="A900" s="9"/>
      <c r="B900" s="10"/>
      <c r="C900" s="9"/>
      <c r="D900" s="9"/>
      <c r="E900" s="9"/>
      <c r="F900" s="9"/>
      <c r="G900" s="9"/>
      <c r="H900" s="9"/>
      <c r="I900" s="9"/>
      <c r="J900" s="9"/>
      <c r="K900" s="9"/>
      <c r="L900" s="9"/>
      <c r="M900" s="9"/>
      <c r="N900" s="9"/>
    </row>
    <row r="901" spans="1:14" ht="15.75" customHeight="1" x14ac:dyDescent="0.2">
      <c r="A901" s="9"/>
      <c r="B901" s="10"/>
      <c r="C901" s="9"/>
      <c r="D901" s="9"/>
      <c r="E901" s="9"/>
      <c r="F901" s="9"/>
      <c r="G901" s="9"/>
      <c r="H901" s="9"/>
      <c r="I901" s="9"/>
      <c r="J901" s="9"/>
      <c r="K901" s="9"/>
      <c r="L901" s="9"/>
      <c r="M901" s="9"/>
      <c r="N901" s="9"/>
    </row>
    <row r="902" spans="1:14" ht="15.75" customHeight="1" x14ac:dyDescent="0.2">
      <c r="A902" s="9"/>
      <c r="B902" s="10"/>
      <c r="C902" s="9"/>
      <c r="D902" s="9"/>
      <c r="E902" s="9"/>
      <c r="F902" s="9"/>
      <c r="G902" s="9"/>
      <c r="H902" s="9"/>
      <c r="I902" s="9"/>
      <c r="J902" s="9"/>
      <c r="K902" s="9"/>
      <c r="L902" s="9"/>
      <c r="M902" s="9"/>
      <c r="N902" s="9"/>
    </row>
    <row r="903" spans="1:14" ht="15.75" customHeight="1" x14ac:dyDescent="0.2">
      <c r="A903" s="9"/>
      <c r="B903" s="10"/>
      <c r="C903" s="9"/>
      <c r="D903" s="9"/>
      <c r="E903" s="9"/>
      <c r="F903" s="9"/>
      <c r="G903" s="9"/>
      <c r="H903" s="9"/>
      <c r="I903" s="9"/>
      <c r="J903" s="9"/>
      <c r="K903" s="9"/>
      <c r="L903" s="9"/>
      <c r="M903" s="9"/>
      <c r="N903" s="9"/>
    </row>
    <row r="904" spans="1:14" ht="15.75" customHeight="1" x14ac:dyDescent="0.2">
      <c r="A904" s="9"/>
      <c r="B904" s="10"/>
      <c r="C904" s="9"/>
      <c r="D904" s="9"/>
      <c r="E904" s="9"/>
      <c r="F904" s="9"/>
      <c r="G904" s="9"/>
      <c r="H904" s="9"/>
      <c r="I904" s="9"/>
      <c r="J904" s="9"/>
      <c r="K904" s="9"/>
      <c r="L904" s="9"/>
      <c r="M904" s="9"/>
      <c r="N904" s="9"/>
    </row>
    <row r="905" spans="1:14" ht="15.75" customHeight="1" x14ac:dyDescent="0.2">
      <c r="A905" s="9"/>
      <c r="B905" s="10"/>
      <c r="C905" s="9"/>
      <c r="D905" s="9"/>
      <c r="E905" s="9"/>
      <c r="F905" s="9"/>
      <c r="G905" s="9"/>
      <c r="H905" s="9"/>
      <c r="I905" s="9"/>
      <c r="J905" s="9"/>
      <c r="K905" s="9"/>
      <c r="L905" s="9"/>
      <c r="M905" s="9"/>
      <c r="N905" s="9"/>
    </row>
    <row r="906" spans="1:14" ht="15.75" customHeight="1" x14ac:dyDescent="0.2">
      <c r="A906" s="9"/>
      <c r="B906" s="10"/>
      <c r="C906" s="9"/>
      <c r="D906" s="9"/>
      <c r="E906" s="9"/>
      <c r="F906" s="9"/>
      <c r="G906" s="9"/>
      <c r="H906" s="9"/>
      <c r="I906" s="9"/>
      <c r="J906" s="9"/>
      <c r="K906" s="9"/>
      <c r="L906" s="9"/>
      <c r="M906" s="9"/>
      <c r="N906" s="9"/>
    </row>
    <row r="907" spans="1:14" ht="15.75" customHeight="1" x14ac:dyDescent="0.2">
      <c r="A907" s="9"/>
      <c r="B907" s="10"/>
      <c r="C907" s="9"/>
      <c r="D907" s="9"/>
      <c r="E907" s="9"/>
      <c r="F907" s="9"/>
      <c r="G907" s="9"/>
      <c r="H907" s="9"/>
      <c r="I907" s="9"/>
      <c r="J907" s="9"/>
      <c r="K907" s="9"/>
      <c r="L907" s="9"/>
      <c r="M907" s="9"/>
      <c r="N907" s="9"/>
    </row>
    <row r="908" spans="1:14" ht="15.75" customHeight="1" x14ac:dyDescent="0.2">
      <c r="A908" s="9"/>
      <c r="B908" s="10"/>
      <c r="C908" s="9"/>
      <c r="D908" s="9"/>
      <c r="E908" s="9"/>
      <c r="F908" s="9"/>
      <c r="G908" s="9"/>
      <c r="H908" s="9"/>
      <c r="I908" s="9"/>
      <c r="J908" s="9"/>
      <c r="K908" s="9"/>
      <c r="L908" s="9"/>
      <c r="M908" s="9"/>
      <c r="N908" s="9"/>
    </row>
    <row r="909" spans="1:14" ht="15.75" customHeight="1" x14ac:dyDescent="0.2">
      <c r="A909" s="9"/>
      <c r="B909" s="10"/>
      <c r="C909" s="9"/>
      <c r="D909" s="9"/>
      <c r="E909" s="9"/>
      <c r="F909" s="9"/>
      <c r="G909" s="9"/>
      <c r="H909" s="9"/>
      <c r="I909" s="9"/>
      <c r="J909" s="9"/>
      <c r="K909" s="9"/>
      <c r="L909" s="9"/>
      <c r="M909" s="9"/>
      <c r="N909" s="9"/>
    </row>
    <row r="910" spans="1:14" ht="15.75" customHeight="1" x14ac:dyDescent="0.2">
      <c r="A910" s="9"/>
      <c r="B910" s="10"/>
      <c r="C910" s="9"/>
      <c r="D910" s="9"/>
      <c r="E910" s="9"/>
      <c r="F910" s="9"/>
      <c r="G910" s="9"/>
      <c r="H910" s="9"/>
      <c r="I910" s="9"/>
      <c r="J910" s="9"/>
      <c r="K910" s="9"/>
      <c r="L910" s="9"/>
      <c r="M910" s="9"/>
      <c r="N910" s="9"/>
    </row>
    <row r="911" spans="1:14" ht="15.75" customHeight="1" x14ac:dyDescent="0.2">
      <c r="A911" s="9"/>
      <c r="B911" s="10"/>
      <c r="C911" s="9"/>
      <c r="D911" s="9"/>
      <c r="E911" s="9"/>
      <c r="F911" s="9"/>
      <c r="G911" s="9"/>
      <c r="H911" s="9"/>
      <c r="I911" s="9"/>
      <c r="J911" s="9"/>
      <c r="K911" s="9"/>
      <c r="L911" s="9"/>
      <c r="M911" s="9"/>
      <c r="N911" s="9"/>
    </row>
    <row r="912" spans="1:14" ht="15.75" customHeight="1" x14ac:dyDescent="0.2">
      <c r="A912" s="9"/>
      <c r="B912" s="10"/>
      <c r="C912" s="9"/>
      <c r="D912" s="9"/>
      <c r="E912" s="9"/>
      <c r="F912" s="9"/>
      <c r="G912" s="9"/>
      <c r="H912" s="9"/>
      <c r="I912" s="9"/>
      <c r="J912" s="9"/>
      <c r="K912" s="9"/>
      <c r="L912" s="9"/>
      <c r="M912" s="9"/>
      <c r="N912" s="9"/>
    </row>
    <row r="913" spans="1:14" ht="15.75" customHeight="1" x14ac:dyDescent="0.2">
      <c r="A913" s="9"/>
      <c r="B913" s="10"/>
      <c r="C913" s="9"/>
      <c r="D913" s="9"/>
      <c r="E913" s="9"/>
      <c r="F913" s="9"/>
      <c r="G913" s="9"/>
      <c r="H913" s="9"/>
      <c r="I913" s="9"/>
      <c r="J913" s="9"/>
      <c r="K913" s="9"/>
      <c r="L913" s="9"/>
      <c r="M913" s="9"/>
      <c r="N913" s="9"/>
    </row>
    <row r="914" spans="1:14" ht="15.75" customHeight="1" x14ac:dyDescent="0.2">
      <c r="A914" s="9"/>
      <c r="B914" s="10"/>
      <c r="C914" s="9"/>
      <c r="D914" s="9"/>
      <c r="E914" s="9"/>
      <c r="F914" s="9"/>
      <c r="G914" s="9"/>
      <c r="H914" s="9"/>
      <c r="I914" s="9"/>
      <c r="J914" s="9"/>
      <c r="K914" s="9"/>
      <c r="L914" s="9"/>
      <c r="M914" s="9"/>
      <c r="N914" s="9"/>
    </row>
    <row r="915" spans="1:14" ht="15.75" customHeight="1" x14ac:dyDescent="0.2">
      <c r="A915" s="9"/>
      <c r="B915" s="10"/>
      <c r="C915" s="9"/>
      <c r="D915" s="9"/>
      <c r="E915" s="9"/>
      <c r="F915" s="9"/>
      <c r="G915" s="9"/>
      <c r="H915" s="9"/>
      <c r="I915" s="9"/>
      <c r="J915" s="9"/>
      <c r="K915" s="9"/>
      <c r="L915" s="9"/>
      <c r="M915" s="9"/>
      <c r="N915" s="9"/>
    </row>
    <row r="916" spans="1:14" ht="15.75" customHeight="1" x14ac:dyDescent="0.2">
      <c r="A916" s="9"/>
      <c r="B916" s="10"/>
      <c r="C916" s="9"/>
      <c r="D916" s="9"/>
      <c r="E916" s="9"/>
      <c r="F916" s="9"/>
      <c r="G916" s="9"/>
      <c r="H916" s="9"/>
      <c r="I916" s="9"/>
      <c r="J916" s="9"/>
      <c r="K916" s="9"/>
      <c r="L916" s="9"/>
      <c r="M916" s="9"/>
      <c r="N916" s="9"/>
    </row>
    <row r="917" spans="1:14" ht="15.75" customHeight="1" x14ac:dyDescent="0.2">
      <c r="A917" s="9"/>
      <c r="B917" s="10"/>
      <c r="C917" s="9"/>
      <c r="D917" s="9"/>
      <c r="E917" s="9"/>
      <c r="F917" s="9"/>
      <c r="G917" s="9"/>
      <c r="H917" s="9"/>
      <c r="I917" s="9"/>
      <c r="J917" s="9"/>
      <c r="K917" s="9"/>
      <c r="L917" s="9"/>
      <c r="M917" s="9"/>
      <c r="N917" s="9"/>
    </row>
    <row r="918" spans="1:14" ht="15.75" customHeight="1" x14ac:dyDescent="0.2">
      <c r="A918" s="9"/>
      <c r="B918" s="10"/>
      <c r="C918" s="9"/>
      <c r="D918" s="9"/>
      <c r="E918" s="9"/>
      <c r="F918" s="9"/>
      <c r="G918" s="9"/>
      <c r="H918" s="9"/>
      <c r="I918" s="9"/>
      <c r="J918" s="9"/>
      <c r="K918" s="9"/>
      <c r="L918" s="9"/>
      <c r="M918" s="9"/>
      <c r="N918" s="9"/>
    </row>
    <row r="919" spans="1:14" ht="15.75" customHeight="1" x14ac:dyDescent="0.2">
      <c r="A919" s="9"/>
      <c r="B919" s="10"/>
      <c r="C919" s="9"/>
      <c r="D919" s="9"/>
      <c r="E919" s="9"/>
      <c r="F919" s="9"/>
      <c r="G919" s="9"/>
      <c r="H919" s="9"/>
      <c r="I919" s="9"/>
      <c r="J919" s="9"/>
      <c r="K919" s="9"/>
      <c r="L919" s="9"/>
      <c r="M919" s="9"/>
      <c r="N919" s="9"/>
    </row>
    <row r="920" spans="1:14" ht="15.75" customHeight="1" x14ac:dyDescent="0.2">
      <c r="A920" s="9"/>
      <c r="B920" s="10"/>
      <c r="C920" s="9"/>
      <c r="D920" s="9"/>
      <c r="E920" s="9"/>
      <c r="F920" s="9"/>
      <c r="G920" s="9"/>
      <c r="H920" s="9"/>
      <c r="I920" s="9"/>
      <c r="J920" s="9"/>
      <c r="K920" s="9"/>
      <c r="L920" s="9"/>
      <c r="M920" s="9"/>
      <c r="N920" s="9"/>
    </row>
    <row r="921" spans="1:14" ht="15.75" customHeight="1" x14ac:dyDescent="0.2">
      <c r="A921" s="9"/>
      <c r="B921" s="10"/>
      <c r="C921" s="9"/>
      <c r="D921" s="9"/>
      <c r="E921" s="9"/>
      <c r="F921" s="9"/>
      <c r="G921" s="9"/>
      <c r="H921" s="9"/>
      <c r="I921" s="9"/>
      <c r="J921" s="9"/>
      <c r="K921" s="9"/>
      <c r="L921" s="9"/>
      <c r="M921" s="9"/>
      <c r="N921" s="9"/>
    </row>
    <row r="922" spans="1:14" ht="15.75" customHeight="1" x14ac:dyDescent="0.2">
      <c r="A922" s="9"/>
      <c r="B922" s="10"/>
      <c r="C922" s="9"/>
      <c r="D922" s="9"/>
      <c r="E922" s="9"/>
      <c r="F922" s="9"/>
      <c r="G922" s="9"/>
      <c r="H922" s="9"/>
      <c r="I922" s="9"/>
      <c r="J922" s="9"/>
      <c r="K922" s="9"/>
      <c r="L922" s="9"/>
      <c r="M922" s="9"/>
      <c r="N922" s="9"/>
    </row>
    <row r="923" spans="1:14" ht="15.75" customHeight="1" x14ac:dyDescent="0.2">
      <c r="A923" s="9"/>
      <c r="B923" s="10"/>
      <c r="C923" s="9"/>
      <c r="D923" s="9"/>
      <c r="E923" s="9"/>
      <c r="F923" s="9"/>
      <c r="G923" s="9"/>
      <c r="H923" s="9"/>
      <c r="I923" s="9"/>
      <c r="J923" s="9"/>
      <c r="K923" s="9"/>
      <c r="L923" s="9"/>
      <c r="M923" s="9"/>
      <c r="N923" s="9"/>
    </row>
    <row r="924" spans="1:14" ht="15.75" customHeight="1" x14ac:dyDescent="0.2">
      <c r="A924" s="9"/>
      <c r="B924" s="10"/>
      <c r="C924" s="9"/>
      <c r="D924" s="9"/>
      <c r="E924" s="9"/>
      <c r="F924" s="9"/>
      <c r="G924" s="9"/>
      <c r="H924" s="9"/>
      <c r="I924" s="9"/>
      <c r="J924" s="9"/>
      <c r="K924" s="9"/>
      <c r="L924" s="9"/>
      <c r="M924" s="9"/>
      <c r="N924" s="9"/>
    </row>
    <row r="925" spans="1:14" ht="15.75" customHeight="1" x14ac:dyDescent="0.2">
      <c r="A925" s="9"/>
      <c r="B925" s="10"/>
      <c r="C925" s="9"/>
      <c r="D925" s="9"/>
      <c r="E925" s="9"/>
      <c r="F925" s="9"/>
      <c r="G925" s="9"/>
      <c r="H925" s="9"/>
      <c r="I925" s="9"/>
      <c r="J925" s="9"/>
      <c r="K925" s="9"/>
      <c r="L925" s="9"/>
      <c r="M925" s="9"/>
      <c r="N925" s="9"/>
    </row>
    <row r="926" spans="1:14" ht="15.75" customHeight="1" x14ac:dyDescent="0.2">
      <c r="A926" s="9"/>
      <c r="B926" s="10"/>
      <c r="C926" s="9"/>
      <c r="D926" s="9"/>
      <c r="E926" s="9"/>
      <c r="F926" s="9"/>
      <c r="G926" s="9"/>
      <c r="H926" s="9"/>
      <c r="I926" s="9"/>
      <c r="J926" s="9"/>
      <c r="K926" s="9"/>
      <c r="L926" s="9"/>
      <c r="M926" s="9"/>
      <c r="N926" s="9"/>
    </row>
    <row r="927" spans="1:14" ht="15.75" customHeight="1" x14ac:dyDescent="0.2">
      <c r="A927" s="9"/>
      <c r="B927" s="10"/>
      <c r="C927" s="9"/>
      <c r="D927" s="9"/>
      <c r="E927" s="9"/>
      <c r="F927" s="9"/>
      <c r="G927" s="9"/>
      <c r="H927" s="9"/>
      <c r="I927" s="9"/>
      <c r="J927" s="9"/>
      <c r="K927" s="9"/>
      <c r="L927" s="9"/>
      <c r="M927" s="9"/>
      <c r="N927" s="9"/>
    </row>
    <row r="928" spans="1:14" ht="15.75" customHeight="1" x14ac:dyDescent="0.2">
      <c r="A928" s="9"/>
      <c r="B928" s="10"/>
      <c r="C928" s="9"/>
      <c r="D928" s="9"/>
      <c r="E928" s="9"/>
      <c r="F928" s="9"/>
      <c r="G928" s="9"/>
      <c r="H928" s="9"/>
      <c r="I928" s="9"/>
      <c r="J928" s="9"/>
      <c r="K928" s="9"/>
      <c r="L928" s="9"/>
      <c r="M928" s="9"/>
      <c r="N928" s="9"/>
    </row>
    <row r="929" spans="1:14" ht="15.75" customHeight="1" x14ac:dyDescent="0.2">
      <c r="A929" s="9"/>
      <c r="B929" s="10"/>
      <c r="C929" s="9"/>
      <c r="D929" s="9"/>
      <c r="E929" s="9"/>
      <c r="F929" s="9"/>
      <c r="G929" s="9"/>
      <c r="H929" s="9"/>
      <c r="I929" s="9"/>
      <c r="J929" s="9"/>
      <c r="K929" s="9"/>
      <c r="L929" s="9"/>
      <c r="M929" s="9"/>
      <c r="N929" s="9"/>
    </row>
    <row r="930" spans="1:14" ht="15.75" customHeight="1" x14ac:dyDescent="0.2">
      <c r="A930" s="9"/>
      <c r="B930" s="10"/>
      <c r="C930" s="9"/>
      <c r="D930" s="9"/>
      <c r="E930" s="9"/>
      <c r="F930" s="9"/>
      <c r="G930" s="9"/>
      <c r="H930" s="9"/>
      <c r="I930" s="9"/>
      <c r="J930" s="9"/>
      <c r="K930" s="9"/>
      <c r="L930" s="9"/>
      <c r="M930" s="9"/>
      <c r="N930" s="9"/>
    </row>
    <row r="931" spans="1:14" ht="15.75" customHeight="1" x14ac:dyDescent="0.2">
      <c r="A931" s="9"/>
      <c r="B931" s="10"/>
      <c r="C931" s="9"/>
      <c r="D931" s="9"/>
      <c r="E931" s="9"/>
      <c r="F931" s="9"/>
      <c r="G931" s="9"/>
      <c r="H931" s="9"/>
      <c r="I931" s="9"/>
      <c r="J931" s="9"/>
      <c r="K931" s="9"/>
      <c r="L931" s="9"/>
      <c r="M931" s="9"/>
      <c r="N931" s="9"/>
    </row>
    <row r="932" spans="1:14" ht="15.75" customHeight="1" x14ac:dyDescent="0.2">
      <c r="A932" s="9"/>
      <c r="B932" s="10"/>
      <c r="C932" s="9"/>
      <c r="D932" s="9"/>
      <c r="E932" s="9"/>
      <c r="F932" s="9"/>
      <c r="G932" s="9"/>
      <c r="H932" s="9"/>
      <c r="I932" s="9"/>
      <c r="J932" s="9"/>
      <c r="K932" s="9"/>
      <c r="L932" s="9"/>
      <c r="M932" s="9"/>
      <c r="N932" s="9"/>
    </row>
    <row r="933" spans="1:14" ht="15.75" customHeight="1" x14ac:dyDescent="0.2">
      <c r="A933" s="9"/>
      <c r="B933" s="10"/>
      <c r="C933" s="9"/>
      <c r="D933" s="9"/>
      <c r="E933" s="9"/>
      <c r="F933" s="9"/>
      <c r="G933" s="9"/>
      <c r="H933" s="9"/>
      <c r="I933" s="9"/>
      <c r="J933" s="9"/>
      <c r="K933" s="9"/>
      <c r="L933" s="9"/>
      <c r="M933" s="9"/>
      <c r="N933" s="9"/>
    </row>
    <row r="934" spans="1:14" ht="15.75" customHeight="1" x14ac:dyDescent="0.2">
      <c r="A934" s="9"/>
      <c r="B934" s="10"/>
      <c r="C934" s="9"/>
      <c r="D934" s="9"/>
      <c r="E934" s="9"/>
      <c r="F934" s="9"/>
      <c r="G934" s="9"/>
      <c r="H934" s="9"/>
      <c r="I934" s="9"/>
      <c r="J934" s="9"/>
      <c r="K934" s="9"/>
      <c r="L934" s="9"/>
      <c r="M934" s="9"/>
      <c r="N934" s="9"/>
    </row>
    <row r="935" spans="1:14" ht="15.75" customHeight="1" x14ac:dyDescent="0.2">
      <c r="A935" s="9"/>
      <c r="B935" s="10"/>
      <c r="C935" s="9"/>
      <c r="D935" s="9"/>
      <c r="E935" s="9"/>
      <c r="F935" s="9"/>
      <c r="G935" s="9"/>
      <c r="H935" s="9"/>
      <c r="I935" s="9"/>
      <c r="J935" s="9"/>
      <c r="K935" s="9"/>
      <c r="L935" s="9"/>
      <c r="M935" s="9"/>
      <c r="N935" s="9"/>
    </row>
    <row r="936" spans="1:14" ht="15.75" customHeight="1" x14ac:dyDescent="0.2">
      <c r="A936" s="9"/>
      <c r="B936" s="10"/>
      <c r="C936" s="9"/>
      <c r="D936" s="9"/>
      <c r="E936" s="9"/>
      <c r="F936" s="9"/>
      <c r="G936" s="9"/>
      <c r="H936" s="9"/>
      <c r="I936" s="9"/>
      <c r="J936" s="9"/>
      <c r="K936" s="9"/>
      <c r="L936" s="9"/>
      <c r="M936" s="9"/>
      <c r="N936" s="9"/>
    </row>
    <row r="937" spans="1:14" ht="15.75" customHeight="1" x14ac:dyDescent="0.2">
      <c r="A937" s="9"/>
      <c r="B937" s="10"/>
      <c r="C937" s="9"/>
      <c r="D937" s="9"/>
      <c r="E937" s="9"/>
      <c r="F937" s="9"/>
      <c r="G937" s="9"/>
      <c r="H937" s="9"/>
      <c r="I937" s="9"/>
      <c r="J937" s="9"/>
      <c r="K937" s="9"/>
      <c r="L937" s="9"/>
      <c r="M937" s="9"/>
      <c r="N937" s="9"/>
    </row>
    <row r="938" spans="1:14" ht="15.75" customHeight="1" x14ac:dyDescent="0.2">
      <c r="A938" s="9"/>
      <c r="B938" s="10"/>
      <c r="C938" s="9"/>
      <c r="D938" s="9"/>
      <c r="E938" s="9"/>
      <c r="F938" s="9"/>
      <c r="G938" s="9"/>
      <c r="H938" s="9"/>
      <c r="I938" s="9"/>
      <c r="J938" s="9"/>
      <c r="K938" s="9"/>
      <c r="L938" s="9"/>
      <c r="M938" s="9"/>
      <c r="N938" s="9"/>
    </row>
    <row r="939" spans="1:14" ht="15.75" customHeight="1" x14ac:dyDescent="0.2">
      <c r="A939" s="9"/>
      <c r="B939" s="10"/>
      <c r="C939" s="9"/>
      <c r="D939" s="9"/>
      <c r="E939" s="9"/>
      <c r="F939" s="9"/>
      <c r="G939" s="9"/>
      <c r="H939" s="9"/>
      <c r="I939" s="9"/>
      <c r="J939" s="9"/>
      <c r="K939" s="9"/>
      <c r="L939" s="9"/>
      <c r="M939" s="9"/>
      <c r="N939" s="9"/>
    </row>
    <row r="940" spans="1:14" ht="15.75" customHeight="1" x14ac:dyDescent="0.2">
      <c r="A940" s="9"/>
      <c r="B940" s="10"/>
      <c r="C940" s="9"/>
      <c r="D940" s="9"/>
      <c r="E940" s="9"/>
      <c r="F940" s="9"/>
      <c r="G940" s="9"/>
      <c r="H940" s="9"/>
      <c r="I940" s="9"/>
      <c r="J940" s="9"/>
      <c r="K940" s="9"/>
      <c r="L940" s="9"/>
      <c r="M940" s="9"/>
      <c r="N940" s="9"/>
    </row>
    <row r="941" spans="1:14" ht="15.75" customHeight="1" x14ac:dyDescent="0.2">
      <c r="A941" s="9"/>
      <c r="B941" s="10"/>
      <c r="C941" s="9"/>
      <c r="D941" s="9"/>
      <c r="E941" s="9"/>
      <c r="F941" s="9"/>
      <c r="G941" s="9"/>
      <c r="H941" s="9"/>
      <c r="I941" s="9"/>
      <c r="J941" s="9"/>
      <c r="K941" s="9"/>
      <c r="L941" s="9"/>
      <c r="M941" s="9"/>
      <c r="N941" s="9"/>
    </row>
    <row r="942" spans="1:14" ht="15.75" customHeight="1" x14ac:dyDescent="0.2">
      <c r="A942" s="9"/>
      <c r="B942" s="10"/>
      <c r="C942" s="9"/>
      <c r="D942" s="9"/>
      <c r="E942" s="9"/>
      <c r="F942" s="9"/>
      <c r="G942" s="9"/>
      <c r="H942" s="9"/>
      <c r="I942" s="9"/>
      <c r="J942" s="9"/>
      <c r="K942" s="9"/>
      <c r="L942" s="9"/>
      <c r="M942" s="9"/>
      <c r="N942" s="9"/>
    </row>
    <row r="943" spans="1:14" ht="15.75" customHeight="1" x14ac:dyDescent="0.2">
      <c r="A943" s="9"/>
      <c r="B943" s="10"/>
      <c r="C943" s="9"/>
      <c r="D943" s="9"/>
      <c r="E943" s="9"/>
      <c r="F943" s="9"/>
      <c r="G943" s="9"/>
      <c r="H943" s="9"/>
      <c r="I943" s="9"/>
      <c r="J943" s="9"/>
      <c r="K943" s="9"/>
      <c r="L943" s="9"/>
      <c r="M943" s="9"/>
      <c r="N943" s="9"/>
    </row>
    <row r="944" spans="1:14" ht="15.75" customHeight="1" x14ac:dyDescent="0.2">
      <c r="A944" s="9"/>
      <c r="B944" s="10"/>
      <c r="C944" s="9"/>
      <c r="D944" s="9"/>
      <c r="E944" s="9"/>
      <c r="F944" s="9"/>
      <c r="G944" s="9"/>
      <c r="H944" s="9"/>
      <c r="I944" s="9"/>
      <c r="J944" s="9"/>
      <c r="K944" s="9"/>
      <c r="L944" s="9"/>
      <c r="M944" s="9"/>
      <c r="N944" s="9"/>
    </row>
    <row r="945" spans="1:14" ht="15.75" customHeight="1" x14ac:dyDescent="0.2">
      <c r="A945" s="9"/>
      <c r="B945" s="10"/>
      <c r="C945" s="9"/>
      <c r="D945" s="9"/>
      <c r="E945" s="9"/>
      <c r="F945" s="9"/>
      <c r="G945" s="9"/>
      <c r="H945" s="9"/>
      <c r="I945" s="9"/>
      <c r="J945" s="9"/>
      <c r="K945" s="9"/>
      <c r="L945" s="9"/>
      <c r="M945" s="9"/>
      <c r="N945" s="9"/>
    </row>
    <row r="946" spans="1:14" ht="15.75" customHeight="1" x14ac:dyDescent="0.2">
      <c r="A946" s="9"/>
      <c r="B946" s="10"/>
      <c r="C946" s="9"/>
      <c r="D946" s="9"/>
      <c r="E946" s="9"/>
      <c r="F946" s="9"/>
      <c r="G946" s="9"/>
      <c r="H946" s="9"/>
      <c r="I946" s="9"/>
      <c r="J946" s="9"/>
      <c r="K946" s="9"/>
      <c r="L946" s="9"/>
      <c r="M946" s="9"/>
      <c r="N946" s="9"/>
    </row>
    <row r="947" spans="1:14" ht="15.75" customHeight="1" x14ac:dyDescent="0.2">
      <c r="A947" s="9"/>
      <c r="B947" s="10"/>
      <c r="C947" s="9"/>
      <c r="D947" s="9"/>
      <c r="E947" s="9"/>
      <c r="F947" s="9"/>
      <c r="G947" s="9"/>
      <c r="H947" s="9"/>
      <c r="I947" s="9"/>
      <c r="J947" s="9"/>
      <c r="K947" s="9"/>
      <c r="L947" s="9"/>
      <c r="M947" s="9"/>
      <c r="N947" s="9"/>
    </row>
    <row r="948" spans="1:14" ht="15.75" customHeight="1" x14ac:dyDescent="0.2">
      <c r="A948" s="9"/>
      <c r="B948" s="10"/>
      <c r="C948" s="9"/>
      <c r="D948" s="9"/>
      <c r="E948" s="9"/>
      <c r="F948" s="9"/>
      <c r="G948" s="9"/>
      <c r="H948" s="9"/>
      <c r="I948" s="9"/>
      <c r="J948" s="9"/>
      <c r="K948" s="9"/>
      <c r="L948" s="9"/>
      <c r="M948" s="9"/>
      <c r="N948" s="9"/>
    </row>
    <row r="949" spans="1:14" ht="15.75" customHeight="1" x14ac:dyDescent="0.2">
      <c r="A949" s="9"/>
      <c r="B949" s="10"/>
      <c r="C949" s="9"/>
      <c r="D949" s="9"/>
      <c r="E949" s="9"/>
      <c r="F949" s="9"/>
      <c r="G949" s="9"/>
      <c r="H949" s="9"/>
      <c r="I949" s="9"/>
      <c r="J949" s="9"/>
      <c r="K949" s="9"/>
      <c r="L949" s="9"/>
      <c r="M949" s="9"/>
      <c r="N949" s="9"/>
    </row>
    <row r="950" spans="1:14" ht="15.75" customHeight="1" x14ac:dyDescent="0.2">
      <c r="A950" s="9"/>
      <c r="B950" s="10"/>
      <c r="C950" s="9"/>
      <c r="D950" s="9"/>
      <c r="E950" s="9"/>
      <c r="F950" s="9"/>
      <c r="G950" s="9"/>
      <c r="H950" s="9"/>
      <c r="I950" s="9"/>
      <c r="J950" s="9"/>
      <c r="K950" s="9"/>
      <c r="L950" s="9"/>
      <c r="M950" s="9"/>
      <c r="N950" s="9"/>
    </row>
    <row r="951" spans="1:14" ht="15.75" customHeight="1" x14ac:dyDescent="0.2">
      <c r="A951" s="9"/>
      <c r="B951" s="10"/>
      <c r="C951" s="9"/>
      <c r="D951" s="9"/>
      <c r="E951" s="9"/>
      <c r="F951" s="9"/>
      <c r="G951" s="9"/>
      <c r="H951" s="9"/>
      <c r="I951" s="9"/>
      <c r="J951" s="9"/>
      <c r="K951" s="9"/>
      <c r="L951" s="9"/>
      <c r="M951" s="9"/>
      <c r="N951" s="9"/>
    </row>
    <row r="952" spans="1:14" ht="15.75" customHeight="1" x14ac:dyDescent="0.2">
      <c r="A952" s="9"/>
      <c r="B952" s="10"/>
      <c r="C952" s="9"/>
      <c r="D952" s="9"/>
      <c r="E952" s="9"/>
      <c r="F952" s="9"/>
      <c r="G952" s="9"/>
      <c r="H952" s="9"/>
      <c r="I952" s="9"/>
      <c r="J952" s="9"/>
      <c r="K952" s="9"/>
      <c r="L952" s="9"/>
      <c r="M952" s="9"/>
      <c r="N952" s="9"/>
    </row>
    <row r="953" spans="1:14" ht="15.75" customHeight="1" x14ac:dyDescent="0.2">
      <c r="A953" s="9"/>
      <c r="B953" s="10"/>
      <c r="C953" s="9"/>
      <c r="D953" s="9"/>
      <c r="E953" s="9"/>
      <c r="F953" s="9"/>
      <c r="G953" s="9"/>
      <c r="H953" s="9"/>
      <c r="I953" s="9"/>
      <c r="J953" s="9"/>
      <c r="K953" s="9"/>
      <c r="L953" s="9"/>
      <c r="M953" s="9"/>
      <c r="N953" s="9"/>
    </row>
    <row r="954" spans="1:14" ht="15.75" customHeight="1" x14ac:dyDescent="0.2">
      <c r="A954" s="9"/>
      <c r="B954" s="10"/>
      <c r="C954" s="9"/>
      <c r="D954" s="9"/>
      <c r="E954" s="9"/>
      <c r="F954" s="9"/>
      <c r="G954" s="9"/>
      <c r="H954" s="9"/>
      <c r="I954" s="9"/>
      <c r="J954" s="9"/>
      <c r="K954" s="9"/>
      <c r="L954" s="9"/>
      <c r="M954" s="9"/>
      <c r="N954" s="9"/>
    </row>
    <row r="955" spans="1:14" ht="15.75" customHeight="1" x14ac:dyDescent="0.2">
      <c r="A955" s="9"/>
      <c r="B955" s="10"/>
      <c r="C955" s="9"/>
      <c r="D955" s="9"/>
      <c r="E955" s="9"/>
      <c r="F955" s="9"/>
      <c r="G955" s="9"/>
      <c r="H955" s="9"/>
      <c r="I955" s="9"/>
      <c r="J955" s="9"/>
      <c r="K955" s="9"/>
      <c r="L955" s="9"/>
      <c r="M955" s="9"/>
      <c r="N955" s="9"/>
    </row>
    <row r="956" spans="1:14" ht="15.75" customHeight="1" x14ac:dyDescent="0.2">
      <c r="A956" s="9"/>
      <c r="B956" s="10"/>
      <c r="C956" s="9"/>
      <c r="D956" s="9"/>
      <c r="E956" s="9"/>
      <c r="F956" s="9"/>
      <c r="G956" s="9"/>
      <c r="H956" s="9"/>
      <c r="I956" s="9"/>
      <c r="J956" s="9"/>
      <c r="K956" s="9"/>
      <c r="L956" s="9"/>
      <c r="M956" s="9"/>
      <c r="N956" s="9"/>
    </row>
    <row r="957" spans="1:14" ht="15.75" customHeight="1" x14ac:dyDescent="0.2">
      <c r="A957" s="9"/>
      <c r="B957" s="10"/>
      <c r="C957" s="9"/>
      <c r="D957" s="9"/>
      <c r="E957" s="9"/>
      <c r="F957" s="9"/>
      <c r="G957" s="9"/>
      <c r="H957" s="9"/>
      <c r="I957" s="9"/>
      <c r="J957" s="9"/>
      <c r="K957" s="9"/>
      <c r="L957" s="9"/>
      <c r="M957" s="9"/>
      <c r="N957" s="9"/>
    </row>
    <row r="958" spans="1:14" ht="15.75" customHeight="1" x14ac:dyDescent="0.2">
      <c r="A958" s="9"/>
      <c r="B958" s="10"/>
      <c r="C958" s="9"/>
      <c r="D958" s="9"/>
      <c r="E958" s="9"/>
      <c r="F958" s="9"/>
      <c r="G958" s="9"/>
      <c r="H958" s="9"/>
      <c r="I958" s="9"/>
      <c r="J958" s="9"/>
      <c r="K958" s="9"/>
      <c r="L958" s="9"/>
      <c r="M958" s="9"/>
      <c r="N958" s="9"/>
    </row>
    <row r="959" spans="1:14" ht="15.75" customHeight="1" x14ac:dyDescent="0.2">
      <c r="A959" s="9"/>
      <c r="B959" s="10"/>
      <c r="C959" s="9"/>
      <c r="D959" s="9"/>
      <c r="E959" s="9"/>
      <c r="F959" s="9"/>
      <c r="G959" s="9"/>
      <c r="H959" s="9"/>
      <c r="I959" s="9"/>
      <c r="J959" s="9"/>
      <c r="K959" s="9"/>
      <c r="L959" s="9"/>
      <c r="M959" s="9"/>
      <c r="N959" s="9"/>
    </row>
    <row r="960" spans="1:14" ht="15.75" customHeight="1" x14ac:dyDescent="0.2">
      <c r="A960" s="9"/>
      <c r="B960" s="10"/>
      <c r="C960" s="9"/>
      <c r="D960" s="9"/>
      <c r="E960" s="9"/>
      <c r="F960" s="9"/>
      <c r="G960" s="9"/>
      <c r="H960" s="9"/>
      <c r="I960" s="9"/>
      <c r="J960" s="9"/>
      <c r="K960" s="9"/>
      <c r="L960" s="9"/>
      <c r="M960" s="9"/>
      <c r="N960" s="9"/>
    </row>
    <row r="961" spans="1:14" ht="15.75" customHeight="1" x14ac:dyDescent="0.2">
      <c r="A961" s="9"/>
      <c r="B961" s="10"/>
      <c r="C961" s="9"/>
      <c r="D961" s="9"/>
      <c r="E961" s="9"/>
      <c r="F961" s="9"/>
      <c r="G961" s="9"/>
      <c r="H961" s="9"/>
      <c r="I961" s="9"/>
      <c r="J961" s="9"/>
      <c r="K961" s="9"/>
      <c r="L961" s="9"/>
      <c r="M961" s="9"/>
      <c r="N961" s="9"/>
    </row>
    <row r="962" spans="1:14" ht="15.75" customHeight="1" x14ac:dyDescent="0.2">
      <c r="A962" s="9"/>
      <c r="B962" s="10"/>
      <c r="C962" s="9"/>
      <c r="D962" s="9"/>
      <c r="E962" s="9"/>
      <c r="F962" s="9"/>
      <c r="G962" s="9"/>
      <c r="H962" s="9"/>
      <c r="I962" s="9"/>
      <c r="J962" s="9"/>
      <c r="K962" s="9"/>
      <c r="L962" s="9"/>
      <c r="M962" s="9"/>
      <c r="N962" s="9"/>
    </row>
    <row r="963" spans="1:14" ht="15.75" customHeight="1" x14ac:dyDescent="0.2">
      <c r="A963" s="9"/>
      <c r="B963" s="10"/>
      <c r="C963" s="9"/>
      <c r="D963" s="9"/>
      <c r="E963" s="9"/>
      <c r="F963" s="9"/>
      <c r="G963" s="9"/>
      <c r="H963" s="9"/>
      <c r="I963" s="9"/>
      <c r="J963" s="9"/>
      <c r="K963" s="9"/>
      <c r="L963" s="9"/>
      <c r="M963" s="9"/>
      <c r="N963" s="9"/>
    </row>
    <row r="964" spans="1:14" ht="15.75" customHeight="1" x14ac:dyDescent="0.2">
      <c r="A964" s="9"/>
      <c r="B964" s="10"/>
      <c r="C964" s="9"/>
      <c r="D964" s="9"/>
      <c r="E964" s="9"/>
      <c r="F964" s="9"/>
      <c r="G964" s="9"/>
      <c r="H964" s="9"/>
      <c r="I964" s="9"/>
      <c r="J964" s="9"/>
      <c r="K964" s="9"/>
      <c r="L964" s="9"/>
      <c r="M964" s="9"/>
      <c r="N964" s="9"/>
    </row>
    <row r="965" spans="1:14" ht="15.75" customHeight="1" x14ac:dyDescent="0.2">
      <c r="A965" s="9"/>
      <c r="B965" s="10"/>
      <c r="C965" s="9"/>
      <c r="D965" s="9"/>
      <c r="E965" s="9"/>
      <c r="F965" s="9"/>
      <c r="G965" s="9"/>
      <c r="H965" s="9"/>
      <c r="I965" s="9"/>
      <c r="J965" s="9"/>
      <c r="K965" s="9"/>
      <c r="L965" s="9"/>
      <c r="M965" s="9"/>
      <c r="N965" s="9"/>
    </row>
    <row r="966" spans="1:14" ht="15.75" customHeight="1" x14ac:dyDescent="0.2">
      <c r="A966" s="9"/>
      <c r="B966" s="10"/>
      <c r="C966" s="9"/>
      <c r="D966" s="9"/>
      <c r="E966" s="9"/>
      <c r="F966" s="9"/>
      <c r="G966" s="9"/>
      <c r="H966" s="9"/>
      <c r="I966" s="9"/>
      <c r="J966" s="9"/>
      <c r="K966" s="9"/>
      <c r="L966" s="9"/>
      <c r="M966" s="9"/>
      <c r="N966" s="9"/>
    </row>
    <row r="967" spans="1:14" ht="15.75" customHeight="1" x14ac:dyDescent="0.2">
      <c r="A967" s="9"/>
      <c r="B967" s="10"/>
      <c r="C967" s="9"/>
      <c r="D967" s="9"/>
      <c r="E967" s="9"/>
      <c r="F967" s="9"/>
      <c r="G967" s="9"/>
      <c r="H967" s="9"/>
      <c r="I967" s="9"/>
      <c r="J967" s="9"/>
      <c r="K967" s="9"/>
      <c r="L967" s="9"/>
      <c r="M967" s="9"/>
      <c r="N967" s="9"/>
    </row>
    <row r="968" spans="1:14" ht="15.75" customHeight="1" x14ac:dyDescent="0.2">
      <c r="A968" s="9"/>
      <c r="B968" s="10"/>
      <c r="C968" s="9"/>
      <c r="D968" s="9"/>
      <c r="E968" s="9"/>
      <c r="F968" s="9"/>
      <c r="G968" s="9"/>
      <c r="H968" s="9"/>
      <c r="I968" s="9"/>
      <c r="J968" s="9"/>
      <c r="K968" s="9"/>
      <c r="L968" s="9"/>
      <c r="M968" s="9"/>
      <c r="N968" s="9"/>
    </row>
    <row r="969" spans="1:14" ht="15.75" customHeight="1" x14ac:dyDescent="0.2">
      <c r="A969" s="9"/>
      <c r="B969" s="10"/>
      <c r="C969" s="9"/>
      <c r="D969" s="9"/>
      <c r="E969" s="9"/>
      <c r="F969" s="9"/>
      <c r="G969" s="9"/>
      <c r="H969" s="9"/>
      <c r="I969" s="9"/>
      <c r="J969" s="9"/>
      <c r="K969" s="9"/>
      <c r="L969" s="9"/>
      <c r="M969" s="9"/>
      <c r="N969" s="9"/>
    </row>
    <row r="970" spans="1:14" ht="15.75" customHeight="1" x14ac:dyDescent="0.2">
      <c r="A970" s="9"/>
      <c r="B970" s="10"/>
      <c r="C970" s="9"/>
      <c r="D970" s="9"/>
      <c r="E970" s="9"/>
      <c r="F970" s="9"/>
      <c r="G970" s="9"/>
      <c r="H970" s="9"/>
      <c r="I970" s="9"/>
      <c r="J970" s="9"/>
      <c r="K970" s="9"/>
      <c r="L970" s="9"/>
      <c r="M970" s="9"/>
      <c r="N970" s="9"/>
    </row>
    <row r="971" spans="1:14" ht="15.75" customHeight="1" x14ac:dyDescent="0.2">
      <c r="A971" s="9"/>
      <c r="B971" s="10"/>
      <c r="C971" s="9"/>
      <c r="D971" s="9"/>
      <c r="E971" s="9"/>
      <c r="F971" s="9"/>
      <c r="G971" s="9"/>
      <c r="H971" s="9"/>
      <c r="I971" s="9"/>
      <c r="J971" s="9"/>
      <c r="K971" s="9"/>
      <c r="L971" s="9"/>
      <c r="M971" s="9"/>
      <c r="N971" s="9"/>
    </row>
    <row r="972" spans="1:14" ht="15.75" customHeight="1" x14ac:dyDescent="0.2">
      <c r="A972" s="9"/>
      <c r="B972" s="10"/>
      <c r="C972" s="9"/>
      <c r="D972" s="9"/>
      <c r="E972" s="9"/>
      <c r="F972" s="9"/>
      <c r="G972" s="9"/>
      <c r="H972" s="9"/>
      <c r="I972" s="9"/>
      <c r="J972" s="9"/>
      <c r="K972" s="9"/>
      <c r="L972" s="9"/>
      <c r="M972" s="9"/>
      <c r="N972" s="9"/>
    </row>
    <row r="973" spans="1:14" ht="15.75" customHeight="1" x14ac:dyDescent="0.2">
      <c r="A973" s="9"/>
      <c r="B973" s="10"/>
      <c r="C973" s="9"/>
      <c r="D973" s="9"/>
      <c r="E973" s="9"/>
      <c r="F973" s="9"/>
      <c r="G973" s="9"/>
      <c r="H973" s="9"/>
      <c r="I973" s="9"/>
      <c r="J973" s="9"/>
      <c r="K973" s="9"/>
      <c r="L973" s="9"/>
      <c r="M973" s="9"/>
      <c r="N973" s="9"/>
    </row>
    <row r="974" spans="1:14" ht="15.75" customHeight="1" x14ac:dyDescent="0.2">
      <c r="A974" s="9"/>
      <c r="B974" s="10"/>
      <c r="C974" s="9"/>
      <c r="D974" s="9"/>
      <c r="E974" s="9"/>
      <c r="F974" s="9"/>
      <c r="G974" s="9"/>
      <c r="H974" s="9"/>
      <c r="I974" s="9"/>
      <c r="J974" s="9"/>
      <c r="K974" s="9"/>
      <c r="L974" s="9"/>
      <c r="M974" s="9"/>
      <c r="N974" s="9"/>
    </row>
    <row r="975" spans="1:14" ht="15.75" customHeight="1" x14ac:dyDescent="0.2">
      <c r="A975" s="9"/>
      <c r="B975" s="10"/>
      <c r="C975" s="9"/>
      <c r="D975" s="9"/>
      <c r="E975" s="9"/>
      <c r="F975" s="9"/>
      <c r="G975" s="9"/>
      <c r="H975" s="9"/>
      <c r="I975" s="9"/>
      <c r="J975" s="9"/>
      <c r="K975" s="9"/>
      <c r="L975" s="9"/>
      <c r="M975" s="9"/>
      <c r="N975" s="9"/>
    </row>
    <row r="976" spans="1:14" ht="15.75" customHeight="1" x14ac:dyDescent="0.2">
      <c r="A976" s="9"/>
      <c r="B976" s="10"/>
      <c r="C976" s="9"/>
      <c r="D976" s="9"/>
      <c r="E976" s="9"/>
      <c r="F976" s="9"/>
      <c r="G976" s="9"/>
      <c r="H976" s="9"/>
      <c r="I976" s="9"/>
      <c r="J976" s="9"/>
      <c r="K976" s="9"/>
      <c r="L976" s="9"/>
      <c r="M976" s="9"/>
      <c r="N976" s="9"/>
    </row>
    <row r="977" spans="1:14" ht="15.75" customHeight="1" x14ac:dyDescent="0.2">
      <c r="A977" s="9"/>
      <c r="B977" s="10"/>
      <c r="C977" s="9"/>
      <c r="D977" s="9"/>
      <c r="E977" s="9"/>
      <c r="F977" s="9"/>
      <c r="G977" s="9"/>
      <c r="H977" s="9"/>
      <c r="I977" s="9"/>
      <c r="J977" s="9"/>
      <c r="K977" s="9"/>
      <c r="L977" s="9"/>
      <c r="M977" s="9"/>
      <c r="N977" s="9"/>
    </row>
    <row r="978" spans="1:14" ht="15.75" customHeight="1" x14ac:dyDescent="0.2">
      <c r="A978" s="9"/>
      <c r="B978" s="10"/>
      <c r="C978" s="9"/>
      <c r="D978" s="9"/>
      <c r="E978" s="9"/>
      <c r="F978" s="9"/>
      <c r="G978" s="9"/>
      <c r="H978" s="9"/>
      <c r="I978" s="9"/>
      <c r="J978" s="9"/>
      <c r="K978" s="9"/>
      <c r="L978" s="9"/>
      <c r="M978" s="9"/>
      <c r="N978" s="9"/>
    </row>
    <row r="979" spans="1:14" ht="15.75" customHeight="1" x14ac:dyDescent="0.2">
      <c r="A979" s="9"/>
      <c r="B979" s="10"/>
      <c r="C979" s="9"/>
      <c r="D979" s="9"/>
      <c r="E979" s="9"/>
      <c r="F979" s="9"/>
      <c r="G979" s="9"/>
      <c r="H979" s="9"/>
      <c r="I979" s="9"/>
      <c r="J979" s="9"/>
      <c r="K979" s="9"/>
      <c r="L979" s="9"/>
      <c r="M979" s="9"/>
      <c r="N979" s="9"/>
    </row>
    <row r="980" spans="1:14" ht="15.75" customHeight="1" x14ac:dyDescent="0.2">
      <c r="A980" s="9"/>
      <c r="B980" s="10"/>
      <c r="C980" s="9"/>
      <c r="D980" s="9"/>
      <c r="E980" s="9"/>
      <c r="F980" s="9"/>
      <c r="G980" s="9"/>
      <c r="H980" s="9"/>
      <c r="I980" s="9"/>
      <c r="J980" s="9"/>
      <c r="K980" s="9"/>
      <c r="L980" s="9"/>
      <c r="M980" s="9"/>
      <c r="N980" s="9"/>
    </row>
    <row r="981" spans="1:14" ht="15.75" customHeight="1" x14ac:dyDescent="0.2">
      <c r="A981" s="9"/>
      <c r="B981" s="10"/>
      <c r="C981" s="9"/>
      <c r="D981" s="9"/>
      <c r="E981" s="9"/>
      <c r="F981" s="9"/>
      <c r="G981" s="9"/>
      <c r="H981" s="9"/>
      <c r="I981" s="9"/>
      <c r="J981" s="9"/>
      <c r="K981" s="9"/>
      <c r="L981" s="9"/>
      <c r="M981" s="9"/>
      <c r="N981" s="9"/>
    </row>
    <row r="982" spans="1:14" ht="15.75" customHeight="1" x14ac:dyDescent="0.2">
      <c r="A982" s="9"/>
      <c r="B982" s="10"/>
      <c r="C982" s="9"/>
      <c r="D982" s="9"/>
      <c r="E982" s="9"/>
      <c r="F982" s="9"/>
      <c r="G982" s="9"/>
      <c r="H982" s="9"/>
      <c r="I982" s="9"/>
      <c r="J982" s="9"/>
      <c r="K982" s="9"/>
      <c r="L982" s="9"/>
      <c r="M982" s="9"/>
      <c r="N982" s="9"/>
    </row>
    <row r="983" spans="1:14" ht="15.75" customHeight="1" x14ac:dyDescent="0.2">
      <c r="A983" s="9"/>
      <c r="B983" s="10"/>
      <c r="C983" s="9"/>
      <c r="D983" s="9"/>
      <c r="E983" s="9"/>
      <c r="F983" s="9"/>
      <c r="G983" s="9"/>
      <c r="H983" s="9"/>
      <c r="I983" s="9"/>
      <c r="J983" s="9"/>
      <c r="K983" s="9"/>
      <c r="L983" s="9"/>
      <c r="M983" s="9"/>
      <c r="N983" s="9"/>
    </row>
    <row r="984" spans="1:14" ht="15.75" customHeight="1" x14ac:dyDescent="0.2">
      <c r="A984" s="9"/>
      <c r="B984" s="10"/>
      <c r="C984" s="9"/>
      <c r="D984" s="9"/>
      <c r="E984" s="9"/>
      <c r="F984" s="9"/>
      <c r="G984" s="9"/>
      <c r="H984" s="9"/>
      <c r="I984" s="9"/>
      <c r="J984" s="9"/>
      <c r="K984" s="9"/>
      <c r="L984" s="9"/>
      <c r="M984" s="9"/>
      <c r="N984" s="9"/>
    </row>
    <row r="985" spans="1:14" ht="15.75" customHeight="1" x14ac:dyDescent="0.2">
      <c r="A985" s="9"/>
      <c r="B985" s="10"/>
      <c r="C985" s="9"/>
      <c r="D985" s="9"/>
      <c r="E985" s="9"/>
      <c r="F985" s="9"/>
      <c r="G985" s="9"/>
      <c r="H985" s="9"/>
      <c r="I985" s="9"/>
      <c r="J985" s="9"/>
      <c r="K985" s="9"/>
      <c r="L985" s="9"/>
      <c r="M985" s="9"/>
      <c r="N985" s="9"/>
    </row>
    <row r="986" spans="1:14" ht="15.75" customHeight="1" x14ac:dyDescent="0.2">
      <c r="A986" s="9"/>
      <c r="B986" s="10"/>
      <c r="C986" s="9"/>
      <c r="D986" s="9"/>
      <c r="E986" s="9"/>
      <c r="F986" s="9"/>
      <c r="G986" s="9"/>
      <c r="H986" s="9"/>
      <c r="I986" s="9"/>
      <c r="J986" s="9"/>
      <c r="K986" s="9"/>
      <c r="L986" s="9"/>
      <c r="M986" s="9"/>
      <c r="N986" s="9"/>
    </row>
    <row r="987" spans="1:14" ht="15.75" customHeight="1" x14ac:dyDescent="0.2">
      <c r="A987" s="9"/>
      <c r="B987" s="10"/>
      <c r="C987" s="9"/>
      <c r="D987" s="9"/>
      <c r="E987" s="9"/>
      <c r="F987" s="9"/>
      <c r="G987" s="9"/>
      <c r="H987" s="9"/>
      <c r="I987" s="9"/>
      <c r="J987" s="9"/>
      <c r="K987" s="9"/>
      <c r="L987" s="9"/>
      <c r="M987" s="9"/>
      <c r="N987" s="9"/>
    </row>
    <row r="988" spans="1:14" ht="15.75" customHeight="1" x14ac:dyDescent="0.2">
      <c r="A988" s="9"/>
      <c r="B988" s="10"/>
      <c r="C988" s="9"/>
      <c r="D988" s="9"/>
      <c r="E988" s="9"/>
      <c r="F988" s="9"/>
      <c r="G988" s="9"/>
      <c r="H988" s="9"/>
      <c r="I988" s="9"/>
      <c r="J988" s="9"/>
      <c r="K988" s="9"/>
      <c r="L988" s="9"/>
      <c r="M988" s="9"/>
      <c r="N988" s="9"/>
    </row>
    <row r="989" spans="1:14" ht="15.75" customHeight="1" x14ac:dyDescent="0.2">
      <c r="A989" s="9"/>
      <c r="B989" s="10"/>
      <c r="C989" s="9"/>
      <c r="D989" s="9"/>
      <c r="E989" s="9"/>
      <c r="F989" s="9"/>
      <c r="G989" s="9"/>
      <c r="H989" s="9"/>
      <c r="I989" s="9"/>
      <c r="J989" s="9"/>
      <c r="K989" s="9"/>
      <c r="L989" s="9"/>
      <c r="M989" s="9"/>
      <c r="N989" s="9"/>
    </row>
    <row r="990" spans="1:14" ht="15.75" customHeight="1" x14ac:dyDescent="0.2">
      <c r="A990" s="9"/>
      <c r="B990" s="10"/>
      <c r="C990" s="9"/>
      <c r="D990" s="9"/>
      <c r="E990" s="9"/>
      <c r="F990" s="9"/>
      <c r="G990" s="9"/>
      <c r="H990" s="9"/>
      <c r="I990" s="9"/>
      <c r="J990" s="9"/>
      <c r="K990" s="9"/>
      <c r="L990" s="9"/>
      <c r="M990" s="9"/>
      <c r="N990" s="9"/>
    </row>
    <row r="991" spans="1:14" ht="15.75" customHeight="1" x14ac:dyDescent="0.2">
      <c r="A991" s="9"/>
      <c r="B991" s="10"/>
      <c r="C991" s="9"/>
      <c r="D991" s="9"/>
      <c r="E991" s="9"/>
      <c r="F991" s="9"/>
      <c r="G991" s="9"/>
      <c r="H991" s="9"/>
      <c r="I991" s="9"/>
      <c r="J991" s="9"/>
      <c r="K991" s="9"/>
      <c r="L991" s="9"/>
      <c r="M991" s="9"/>
      <c r="N991" s="9"/>
    </row>
    <row r="992" spans="1:14" ht="15.75" customHeight="1" x14ac:dyDescent="0.2">
      <c r="A992" s="9"/>
      <c r="B992" s="10"/>
      <c r="C992" s="9"/>
      <c r="D992" s="9"/>
      <c r="E992" s="9"/>
      <c r="F992" s="9"/>
      <c r="G992" s="9"/>
      <c r="H992" s="9"/>
      <c r="I992" s="9"/>
      <c r="J992" s="9"/>
      <c r="K992" s="9"/>
      <c r="L992" s="9"/>
      <c r="M992" s="9"/>
      <c r="N992" s="9"/>
    </row>
    <row r="993" spans="1:14" ht="15.75" customHeight="1" x14ac:dyDescent="0.2">
      <c r="A993" s="9"/>
      <c r="B993" s="10"/>
      <c r="C993" s="9"/>
      <c r="D993" s="9"/>
      <c r="E993" s="9"/>
      <c r="F993" s="9"/>
      <c r="G993" s="9"/>
      <c r="H993" s="9"/>
      <c r="I993" s="9"/>
      <c r="J993" s="9"/>
      <c r="K993" s="9"/>
      <c r="L993" s="9"/>
      <c r="M993" s="9"/>
      <c r="N993" s="9"/>
    </row>
    <row r="994" spans="1:14" ht="15.75" customHeight="1" x14ac:dyDescent="0.2">
      <c r="A994" s="9"/>
      <c r="B994" s="10"/>
      <c r="C994" s="9"/>
      <c r="D994" s="9"/>
      <c r="E994" s="9"/>
      <c r="F994" s="9"/>
      <c r="G994" s="9"/>
      <c r="H994" s="9"/>
      <c r="I994" s="9"/>
      <c r="J994" s="9"/>
      <c r="K994" s="9"/>
      <c r="L994" s="9"/>
      <c r="M994" s="9"/>
      <c r="N994" s="9"/>
    </row>
    <row r="995" spans="1:14" ht="15.75" customHeight="1" x14ac:dyDescent="0.2">
      <c r="A995" s="9"/>
      <c r="B995" s="10"/>
      <c r="C995" s="9"/>
      <c r="D995" s="9"/>
      <c r="E995" s="9"/>
      <c r="F995" s="9"/>
      <c r="G995" s="9"/>
      <c r="H995" s="9"/>
      <c r="I995" s="9"/>
      <c r="J995" s="9"/>
      <c r="K995" s="9"/>
      <c r="L995" s="9"/>
      <c r="M995" s="9"/>
      <c r="N995" s="9"/>
    </row>
    <row r="996" spans="1:14" ht="15.75" customHeight="1" x14ac:dyDescent="0.2">
      <c r="A996" s="9"/>
      <c r="B996" s="10"/>
      <c r="C996" s="9"/>
      <c r="D996" s="9"/>
      <c r="E996" s="9"/>
      <c r="F996" s="9"/>
      <c r="G996" s="9"/>
      <c r="H996" s="9"/>
      <c r="I996" s="9"/>
      <c r="J996" s="9"/>
      <c r="K996" s="9"/>
      <c r="L996" s="9"/>
      <c r="M996" s="9"/>
      <c r="N996" s="9"/>
    </row>
    <row r="997" spans="1:14" ht="15.75" customHeight="1" x14ac:dyDescent="0.2">
      <c r="A997" s="9"/>
      <c r="B997" s="10"/>
      <c r="C997" s="9"/>
      <c r="D997" s="9"/>
      <c r="E997" s="9"/>
      <c r="F997" s="9"/>
      <c r="G997" s="9"/>
      <c r="H997" s="9"/>
      <c r="I997" s="9"/>
      <c r="J997" s="9"/>
      <c r="K997" s="9"/>
      <c r="L997" s="9"/>
      <c r="M997" s="9"/>
      <c r="N997" s="9"/>
    </row>
    <row r="998" spans="1:14" ht="15.75" customHeight="1" x14ac:dyDescent="0.2">
      <c r="A998" s="9"/>
      <c r="B998" s="10"/>
      <c r="C998" s="9"/>
      <c r="D998" s="9"/>
      <c r="E998" s="9"/>
      <c r="F998" s="9"/>
      <c r="G998" s="9"/>
      <c r="H998" s="9"/>
      <c r="I998" s="9"/>
      <c r="J998" s="9"/>
      <c r="K998" s="9"/>
      <c r="L998" s="9"/>
      <c r="M998" s="9"/>
      <c r="N998" s="9"/>
    </row>
    <row r="999" spans="1:14" ht="15.75" customHeight="1" x14ac:dyDescent="0.2">
      <c r="A999" s="9"/>
      <c r="B999" s="10"/>
      <c r="C999" s="9"/>
      <c r="D999" s="9"/>
      <c r="E999" s="9"/>
      <c r="F999" s="9"/>
      <c r="G999" s="9"/>
      <c r="H999" s="9"/>
      <c r="I999" s="9"/>
      <c r="J999" s="9"/>
      <c r="K999" s="9"/>
      <c r="L999" s="9"/>
      <c r="M999" s="9"/>
      <c r="N999" s="9"/>
    </row>
    <row r="1000" spans="1:14" ht="15.75" customHeight="1" x14ac:dyDescent="0.2">
      <c r="A1000" s="9"/>
      <c r="B1000" s="10"/>
      <c r="C1000" s="9"/>
      <c r="D1000" s="9"/>
      <c r="E1000" s="9"/>
      <c r="F1000" s="9"/>
      <c r="G1000" s="9"/>
      <c r="H1000" s="9"/>
      <c r="I1000" s="9"/>
      <c r="J1000" s="9"/>
      <c r="K1000" s="9"/>
      <c r="L1000" s="9"/>
      <c r="M1000" s="9"/>
      <c r="N1000" s="9"/>
    </row>
    <row r="1001" spans="1:14" ht="15.75" customHeight="1" x14ac:dyDescent="0.2">
      <c r="A1001" s="9"/>
      <c r="B1001" s="10"/>
      <c r="C1001" s="9"/>
      <c r="D1001" s="9"/>
      <c r="E1001" s="9"/>
      <c r="F1001" s="9"/>
      <c r="G1001" s="9"/>
      <c r="H1001" s="9"/>
      <c r="I1001" s="9"/>
      <c r="J1001" s="9"/>
      <c r="K1001" s="9"/>
      <c r="L1001" s="9"/>
      <c r="M1001" s="9"/>
      <c r="N1001" s="9"/>
    </row>
    <row r="1002" spans="1:14" ht="15.75" customHeight="1" x14ac:dyDescent="0.2">
      <c r="A1002" s="9"/>
      <c r="B1002" s="10"/>
      <c r="C1002" s="9"/>
      <c r="D1002" s="9"/>
      <c r="E1002" s="9"/>
      <c r="F1002" s="9"/>
      <c r="G1002" s="9"/>
      <c r="H1002" s="9"/>
      <c r="I1002" s="9"/>
      <c r="J1002" s="9"/>
      <c r="K1002" s="9"/>
      <c r="L1002" s="9"/>
      <c r="M1002" s="9"/>
      <c r="N1002" s="9"/>
    </row>
  </sheetData>
  <autoFilter xmlns:x14="http://schemas.microsoft.com/office/spreadsheetml/2009/9/main" ref="E2:G312" xr:uid="{00000000-0009-0000-0000-000001000000}">
    <filterColumn colId="0">
      <filters>
        <mc:AlternateContent xmlns:mc="http://schemas.openxmlformats.org/markup-compatibility/2006">
          <mc:Choice Requires="x14">
            <x14:filter val="3201036 Servicio de apoyo financiero para la ejecución de planes, programas y proyectos, de índole nacional y  territorial, encaminados a la acción y resiliencia climática, la gestión,  la educación y participación ambiental y la recuperación, conservación, protección, ordenamiento, manejo, uso y aprovechamiento de los recursos naturales renovables y la biodiversidad, así como las finalidades establecidas para el Impuesto Nacional al Carbono."/>
            <x14:filter val="3203001 Documentos de lineamientos técnicos para la gestión integral del recurso hídrico"/>
            <x14:filter val="3203002 Documentos de planeación para la gestión integral del recurso hídrico"/>
            <x14:filter val="3203003 Documentos de política para la gestión integral del recurso hídrico"/>
            <x14:filter val="3203004 Documentos normativos para la gestión integral del recurso hídrico"/>
            <x14:filter val="3203005 Documentos de estudios técnicos regionales sobre recurso hídrico"/>
            <x14:filter val="3203006 Servicio de asistencia técnica relacionado con calidad, uso y planificación del recurso hídrico"/>
            <x14:filter val="3203034 Servicio de asistencia técnica para la implementación de lineamientos sobre el mejoramiento de la calidad del recurso hídrico"/>
            <x14:filter val="3203035 Servicio de implementación de mecanismos y herramientas de conocimiento y manejo de la información para la Gestión Integral del Recurso Hídrico"/>
            <x14:filter val="3203045 Servicio de seguimiento y control a usuarios del recurso hídrico."/>
            <x14:filter val="3203049 Documentos de investigación para la gestión integral del recurso hídrico"/>
            <x14:filter val="3203050 Servicio de protección del recurso hídrico"/>
            <x14:filter val="3204031 Inventario de recursos naturales"/>
            <x14:filter val="3207001 Documentos de lineamientos técnicos para la gestión integral de mares, costas y recursos acuáticos"/>
            <x14:filter val="3207002 Documentos normativos para la gestión integral de mares, costas y recursos acuáticos"/>
            <x14:filter val="3207003 Documentos de planeación para la gestión integral de mares, costas y recursos acuáticos"/>
            <x14:filter val="3207004 Documentos de investigación para la gestión integral de mares, costas y recursos acuáticos"/>
          </mc:Choice>
          <mc:Fallback>
            <filter val="3203001 Documentos de lineamientos técnicos para la gestión integral del recurso hídrico"/>
            <filter val="3203002 Documentos de planeación para la gestión integral del recurso hídrico"/>
            <filter val="3203003 Documentos de política para la gestión integral del recurso hídrico"/>
            <filter val="3203004 Documentos normativos para la gestión integral del recurso hídrico"/>
            <filter val="3203005 Documentos de estudios técnicos regionales sobre recurso hídrico"/>
            <filter val="3203006 Servicio de asistencia técnica relacionado con calidad, uso y planificación del recurso hídrico"/>
            <filter val="3203034 Servicio de asistencia técnica para la implementación de lineamientos sobre el mejoramiento de la calidad del recurso hídrico"/>
            <filter val="3203035 Servicio de implementación de mecanismos y herramientas de conocimiento y manejo de la información para la Gestión Integral del Recurso Hídrico"/>
            <filter val="3203045 Servicio de seguimiento y control a usuarios del recurso hídrico."/>
            <filter val="3203049 Documentos de investigación para la gestión integral del recurso hídrico"/>
            <filter val="3203050 Servicio de protección del recurso hídrico"/>
            <filter val="3204031 Inventario de recursos naturales"/>
            <filter val="3207001 Documentos de lineamientos técnicos para la gestión integral de mares, costas y recursos acuáticos"/>
            <filter val="3207002 Documentos normativos para la gestión integral de mares, costas y recursos acuáticos"/>
            <filter val="3207003 Documentos de planeación para la gestión integral de mares, costas y recursos acuáticos"/>
            <filter val="3207004 Documentos de investigación para la gestión integral de mares, costas y recursos acuáticos"/>
          </mc:Fallback>
        </mc:AlternateContent>
      </filters>
    </filterColumn>
  </autoFilter>
  <customSheetViews>
    <customSheetView guid="{E25B1015-AAD3-4A6E-93C9-94756C3AC2C0}" filter="1" showAutoFilter="1">
      <pageMargins left="0" right="0" top="0" bottom="0" header="0" footer="0"/>
      <autoFilter ref="E3:G227" xr:uid="{B8DC4DA0-5274-4FDE-B77B-7EB0C94755ED}"/>
    </customSheetView>
    <customSheetView guid="{B4E0D1BA-788D-449B-94FD-5C30B3F7D18B}" filter="1" showAutoFilter="1">
      <pageMargins left="0" right="0" top="0" bottom="0" header="0" footer="0"/>
      <autoFilter ref="I2:K3" xr:uid="{420203C5-261D-499B-BD63-DFC11CE07C90}"/>
    </customSheetView>
    <customSheetView guid="{718D6FCC-F746-4156-AC17-F1F432F76C57}" filter="1" showAutoFilter="1">
      <pageMargins left="0" right="0" top="0" bottom="0" header="0" footer="0"/>
      <autoFilter ref="I3:K554" xr:uid="{76939D8E-569B-407A-9939-70153FF7399F}">
        <filterColumn colId="2">
          <filters>
            <filter val="10"/>
          </filters>
        </filterColumn>
      </autoFilter>
    </customSheetView>
  </customSheetViews>
  <mergeCells count="3">
    <mergeCell ref="B3:C3"/>
    <mergeCell ref="E1:G1"/>
    <mergeCell ref="O1:S1"/>
  </mergeCells>
  <conditionalFormatting sqref="I3:I662">
    <cfRule type="duplicateValues" dxfId="2" priority="2"/>
  </conditionalFormatting>
  <conditionalFormatting sqref="N43:N79 N318:N320 N205:N314 N183:N191 N193:N203 N153:N181">
    <cfRule type="duplicateValues" dxfId="1" priority="40"/>
  </conditionalFormatting>
  <hyperlinks>
    <hyperlink ref="C16" r:id="rId1" xr:uid="{00000000-0004-0000-0100-000000000000}"/>
  </hyperlinks>
  <pageMargins left="0.7" right="0.7" top="0.75" bottom="0.75" header="0" footer="0"/>
  <pageSetup orientation="portrait" r:id="rId2"/>
  <legacyDrawing r:id="rId3"/>
  <tableParts count="1">
    <tablePart r:id="rId4"/>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5"/>
  <sheetViews>
    <sheetView workbookViewId="0">
      <selection activeCell="B19" sqref="B19"/>
    </sheetView>
  </sheetViews>
  <sheetFormatPr baseColWidth="10" defaultColWidth="12.625" defaultRowHeight="15" customHeight="1" x14ac:dyDescent="0.2"/>
  <cols>
    <col min="1" max="1" width="7.875" style="3" customWidth="1"/>
    <col min="2" max="2" width="111.125" style="3" customWidth="1"/>
    <col min="3" max="3" width="7.25" style="3" customWidth="1"/>
    <col min="4" max="4" width="24.125" style="3" customWidth="1"/>
    <col min="5" max="5" width="7.25" style="3" customWidth="1"/>
    <col min="6" max="6" width="4.25" style="3" customWidth="1"/>
    <col min="7" max="7" width="4.125" style="3" customWidth="1"/>
    <col min="8" max="8" width="9.25" style="3" customWidth="1"/>
    <col min="9" max="9" width="51.5" style="3" customWidth="1"/>
    <col min="10" max="10" width="22.125" style="3" customWidth="1"/>
    <col min="11" max="12" width="26.375" style="3" customWidth="1"/>
    <col min="13" max="13" width="25.125" style="3" customWidth="1"/>
    <col min="14" max="14" width="12.625" style="3" customWidth="1"/>
    <col min="15" max="15" width="50.25" style="3" customWidth="1"/>
    <col min="16" max="18" width="12.625" style="3" customWidth="1"/>
    <col min="19" max="19" width="27.625" style="3" customWidth="1"/>
    <col min="20" max="20" width="16.5" style="3" customWidth="1"/>
    <col min="21" max="21" width="25.625" style="3" customWidth="1"/>
    <col min="22" max="22" width="33.5" style="3" customWidth="1"/>
    <col min="23" max="23" width="7.375" style="3" customWidth="1"/>
    <col min="24" max="24" width="42.75" style="3" customWidth="1"/>
    <col min="25" max="16384" width="12.625" style="3"/>
  </cols>
  <sheetData>
    <row r="1" spans="1:26" ht="15.75" customHeight="1" thickBot="1" x14ac:dyDescent="0.25">
      <c r="A1" s="7"/>
      <c r="B1" s="5"/>
      <c r="C1" s="5"/>
      <c r="D1" s="5"/>
      <c r="E1" s="5"/>
      <c r="F1" s="7"/>
      <c r="G1" s="7"/>
      <c r="H1" s="55"/>
      <c r="I1" s="97"/>
      <c r="J1" s="97"/>
      <c r="K1" s="97"/>
      <c r="L1" s="97"/>
      <c r="M1" s="7"/>
      <c r="N1" s="7"/>
      <c r="O1" s="7"/>
      <c r="P1" s="7"/>
      <c r="Q1" s="7"/>
      <c r="R1" s="7"/>
      <c r="S1" s="7"/>
      <c r="T1" s="7"/>
      <c r="U1" s="7"/>
      <c r="V1" s="7"/>
      <c r="W1" s="7"/>
    </row>
    <row r="2" spans="1:26" ht="28.5" customHeight="1" x14ac:dyDescent="0.2">
      <c r="A2" s="226" t="s">
        <v>1551</v>
      </c>
      <c r="B2" s="227"/>
      <c r="C2" s="228"/>
      <c r="D2" s="126"/>
      <c r="E2" s="5"/>
      <c r="F2" s="7"/>
      <c r="G2" s="7"/>
      <c r="H2" s="224" t="s">
        <v>1552</v>
      </c>
      <c r="I2" s="225"/>
      <c r="J2" s="98"/>
      <c r="K2" s="231" t="s">
        <v>1553</v>
      </c>
      <c r="L2" s="232"/>
      <c r="M2" s="7"/>
      <c r="N2" s="229" t="s">
        <v>1554</v>
      </c>
      <c r="O2" s="230"/>
      <c r="P2" s="7"/>
      <c r="Q2" s="51" t="s">
        <v>21</v>
      </c>
      <c r="R2" s="52" t="s">
        <v>1555</v>
      </c>
      <c r="S2" s="52" t="s">
        <v>1556</v>
      </c>
      <c r="T2" s="51" t="s">
        <v>1557</v>
      </c>
      <c r="U2" s="7"/>
      <c r="V2" s="51" t="s">
        <v>21</v>
      </c>
      <c r="X2" s="52" t="s">
        <v>1558</v>
      </c>
      <c r="Y2" s="97"/>
      <c r="Z2" s="51" t="s">
        <v>1557</v>
      </c>
    </row>
    <row r="3" spans="1:26" ht="25.5" x14ac:dyDescent="0.2">
      <c r="A3" s="47" t="s">
        <v>227</v>
      </c>
      <c r="B3" s="48" t="s">
        <v>1559</v>
      </c>
      <c r="C3" s="49" t="s">
        <v>1560</v>
      </c>
      <c r="D3" s="127" t="s">
        <v>1561</v>
      </c>
      <c r="E3" s="5"/>
      <c r="F3" s="7"/>
      <c r="G3" s="7"/>
      <c r="H3" s="99" t="s">
        <v>227</v>
      </c>
      <c r="I3" s="100" t="s">
        <v>1562</v>
      </c>
      <c r="J3" s="88"/>
      <c r="K3" s="101" t="s">
        <v>37</v>
      </c>
      <c r="L3" s="102" t="s">
        <v>1563</v>
      </c>
      <c r="M3" s="7"/>
      <c r="N3" s="103" t="s">
        <v>227</v>
      </c>
      <c r="O3" s="104" t="s">
        <v>1564</v>
      </c>
      <c r="P3" s="7"/>
      <c r="Q3" s="236" t="s">
        <v>71</v>
      </c>
      <c r="R3" s="236" t="s">
        <v>1565</v>
      </c>
      <c r="S3" s="131" t="s">
        <v>1566</v>
      </c>
      <c r="T3" s="132"/>
      <c r="U3" s="7"/>
      <c r="V3" s="93" t="s">
        <v>71</v>
      </c>
      <c r="X3" s="89" t="s">
        <v>1566</v>
      </c>
      <c r="Y3" s="7"/>
      <c r="Z3" s="96" t="s">
        <v>1567</v>
      </c>
    </row>
    <row r="4" spans="1:26" ht="51.75" thickBot="1" x14ac:dyDescent="0.25">
      <c r="A4" s="105" t="s">
        <v>1568</v>
      </c>
      <c r="B4" s="130" t="s">
        <v>1569</v>
      </c>
      <c r="C4" s="50">
        <v>3</v>
      </c>
      <c r="D4" s="128" t="s">
        <v>1570</v>
      </c>
      <c r="E4" s="5"/>
      <c r="F4" s="7"/>
      <c r="G4" s="7"/>
      <c r="H4" s="106">
        <v>1</v>
      </c>
      <c r="I4" s="1" t="s">
        <v>106</v>
      </c>
      <c r="J4" s="88"/>
      <c r="K4" s="108" t="s">
        <v>1571</v>
      </c>
      <c r="L4" s="109" t="s">
        <v>1572</v>
      </c>
      <c r="M4" s="7"/>
      <c r="N4" s="66">
        <v>1</v>
      </c>
      <c r="O4" s="110" t="s">
        <v>1573</v>
      </c>
      <c r="P4" s="7"/>
      <c r="Q4" s="237"/>
      <c r="R4" s="237"/>
      <c r="S4" s="131" t="s">
        <v>1574</v>
      </c>
      <c r="T4" s="132" t="s">
        <v>1567</v>
      </c>
      <c r="U4" s="7"/>
      <c r="V4" s="94" t="s">
        <v>39</v>
      </c>
      <c r="X4" s="89" t="s">
        <v>1574</v>
      </c>
      <c r="Y4" s="7"/>
      <c r="Z4" s="92" t="s">
        <v>1575</v>
      </c>
    </row>
    <row r="5" spans="1:26" ht="25.5" x14ac:dyDescent="0.2">
      <c r="A5" s="105" t="s">
        <v>1576</v>
      </c>
      <c r="B5" s="130" t="s">
        <v>1577</v>
      </c>
      <c r="C5" s="50">
        <v>3</v>
      </c>
      <c r="D5" s="5"/>
      <c r="E5" s="5"/>
      <c r="F5" s="7"/>
      <c r="G5" s="7"/>
      <c r="H5" s="106">
        <v>2</v>
      </c>
      <c r="I5" s="107" t="s">
        <v>1578</v>
      </c>
      <c r="J5" s="88"/>
      <c r="K5" s="7"/>
      <c r="L5" s="7"/>
      <c r="M5" s="7"/>
      <c r="N5" s="66">
        <v>2</v>
      </c>
      <c r="O5" s="110" t="s">
        <v>1579</v>
      </c>
      <c r="P5" s="7"/>
      <c r="Q5" s="237"/>
      <c r="R5" s="237"/>
      <c r="S5" s="131" t="s">
        <v>1580</v>
      </c>
      <c r="T5" s="132"/>
      <c r="U5" s="7"/>
      <c r="X5" s="89" t="s">
        <v>1580</v>
      </c>
      <c r="Y5" s="7"/>
      <c r="Z5" s="92" t="s">
        <v>1581</v>
      </c>
    </row>
    <row r="6" spans="1:26" ht="63.75" x14ac:dyDescent="0.2">
      <c r="A6" s="105" t="s">
        <v>1582</v>
      </c>
      <c r="B6" s="130" t="s">
        <v>1583</v>
      </c>
      <c r="C6" s="50">
        <v>6</v>
      </c>
      <c r="D6" s="128" t="s">
        <v>1584</v>
      </c>
      <c r="E6" s="5"/>
      <c r="F6" s="7"/>
      <c r="G6" s="7"/>
      <c r="H6" s="106">
        <v>3</v>
      </c>
      <c r="I6" s="1" t="s">
        <v>1585</v>
      </c>
      <c r="J6" s="88"/>
      <c r="K6" s="7"/>
      <c r="L6" s="7"/>
      <c r="M6" s="7"/>
      <c r="N6" s="66">
        <v>3</v>
      </c>
      <c r="O6" s="110" t="s">
        <v>1586</v>
      </c>
      <c r="P6" s="7"/>
      <c r="Q6" s="237"/>
      <c r="R6" s="237"/>
      <c r="S6" s="131" t="s">
        <v>1587</v>
      </c>
      <c r="T6" s="132"/>
      <c r="U6" s="7"/>
      <c r="X6" s="89" t="s">
        <v>1587</v>
      </c>
      <c r="Y6" s="7"/>
      <c r="Z6" s="92" t="s">
        <v>41</v>
      </c>
    </row>
    <row r="7" spans="1:26" ht="51" x14ac:dyDescent="0.2">
      <c r="A7" s="105" t="s">
        <v>1588</v>
      </c>
      <c r="B7" s="95" t="s">
        <v>1589</v>
      </c>
      <c r="C7" s="50">
        <v>6</v>
      </c>
      <c r="D7" s="5"/>
      <c r="E7" s="5"/>
      <c r="F7" s="7"/>
      <c r="G7" s="7"/>
      <c r="H7" s="106">
        <v>4</v>
      </c>
      <c r="I7" s="1" t="s">
        <v>1590</v>
      </c>
      <c r="J7" s="88"/>
      <c r="K7" s="88"/>
      <c r="L7" s="88"/>
      <c r="M7" s="7"/>
      <c r="N7" s="66">
        <v>4</v>
      </c>
      <c r="O7" s="110" t="s">
        <v>1591</v>
      </c>
      <c r="P7" s="7"/>
      <c r="Q7" s="237"/>
      <c r="R7" s="237"/>
      <c r="S7" s="131" t="s">
        <v>1592</v>
      </c>
      <c r="T7" s="132"/>
      <c r="U7" s="7"/>
      <c r="X7" s="89" t="s">
        <v>1592</v>
      </c>
      <c r="Y7" s="7"/>
      <c r="Z7" s="91" t="s">
        <v>1593</v>
      </c>
    </row>
    <row r="8" spans="1:26" ht="51" x14ac:dyDescent="0.2">
      <c r="A8" s="105" t="s">
        <v>1594</v>
      </c>
      <c r="B8" s="95" t="s">
        <v>1595</v>
      </c>
      <c r="C8" s="50">
        <v>6</v>
      </c>
      <c r="D8" s="5"/>
      <c r="E8" s="5"/>
      <c r="F8" s="7"/>
      <c r="G8" s="7"/>
      <c r="H8" s="106">
        <v>5</v>
      </c>
      <c r="I8" s="107" t="s">
        <v>1596</v>
      </c>
      <c r="J8" s="88"/>
      <c r="K8" s="84"/>
      <c r="L8" s="111"/>
      <c r="M8" s="7"/>
      <c r="N8" s="66">
        <v>5</v>
      </c>
      <c r="O8" s="110" t="s">
        <v>1597</v>
      </c>
      <c r="P8" s="7"/>
      <c r="Q8" s="238"/>
      <c r="R8" s="238"/>
      <c r="S8" s="131" t="s">
        <v>1598</v>
      </c>
      <c r="T8" s="132"/>
      <c r="U8" s="7"/>
      <c r="X8" s="89" t="s">
        <v>1598</v>
      </c>
      <c r="Y8" s="7"/>
      <c r="Z8" s="91" t="s">
        <v>47</v>
      </c>
    </row>
    <row r="9" spans="1:26" ht="25.5" x14ac:dyDescent="0.2">
      <c r="A9" s="105" t="s">
        <v>1599</v>
      </c>
      <c r="B9" s="95" t="s">
        <v>1600</v>
      </c>
      <c r="C9" s="50">
        <v>6</v>
      </c>
      <c r="D9" s="5"/>
      <c r="E9" s="5"/>
      <c r="F9" s="7"/>
      <c r="G9" s="7"/>
      <c r="H9" s="106">
        <v>6</v>
      </c>
      <c r="I9" s="1" t="s">
        <v>1601</v>
      </c>
      <c r="J9" s="88"/>
      <c r="K9" s="84"/>
      <c r="L9" s="111"/>
      <c r="M9" s="7"/>
      <c r="N9" s="66">
        <v>6</v>
      </c>
      <c r="O9" s="110" t="s">
        <v>1602</v>
      </c>
      <c r="P9" s="7"/>
      <c r="Q9" s="239" t="s">
        <v>39</v>
      </c>
      <c r="R9" s="241" t="s">
        <v>1603</v>
      </c>
      <c r="S9" s="233" t="s">
        <v>40</v>
      </c>
      <c r="T9" s="133" t="s">
        <v>1575</v>
      </c>
      <c r="U9" s="7"/>
      <c r="X9" s="113" t="s">
        <v>40</v>
      </c>
      <c r="Y9" s="7"/>
    </row>
    <row r="10" spans="1:26" ht="76.5" x14ac:dyDescent="0.2">
      <c r="A10" s="105" t="s">
        <v>1604</v>
      </c>
      <c r="B10" s="81" t="s">
        <v>96</v>
      </c>
      <c r="C10" s="50">
        <v>6</v>
      </c>
      <c r="D10" s="5"/>
      <c r="E10" s="5"/>
      <c r="F10" s="7"/>
      <c r="G10" s="7"/>
      <c r="H10" s="106">
        <v>7</v>
      </c>
      <c r="I10" s="1" t="s">
        <v>1605</v>
      </c>
      <c r="J10" s="88"/>
      <c r="K10" s="84"/>
      <c r="L10" s="111"/>
      <c r="M10" s="7"/>
      <c r="N10" s="66">
        <v>7</v>
      </c>
      <c r="O10" s="110" t="s">
        <v>1606</v>
      </c>
      <c r="P10" s="7"/>
      <c r="Q10" s="240"/>
      <c r="R10" s="242"/>
      <c r="S10" s="234"/>
      <c r="T10" s="133" t="s">
        <v>1581</v>
      </c>
      <c r="U10" s="7"/>
      <c r="X10" s="90" t="s">
        <v>1607</v>
      </c>
      <c r="Y10" s="7"/>
    </row>
    <row r="11" spans="1:26" ht="76.5" x14ac:dyDescent="0.2">
      <c r="A11" s="105" t="s">
        <v>1608</v>
      </c>
      <c r="B11" s="81" t="s">
        <v>1609</v>
      </c>
      <c r="C11" s="50">
        <v>6</v>
      </c>
      <c r="D11" s="5"/>
      <c r="E11" s="5"/>
      <c r="F11" s="7"/>
      <c r="G11" s="7"/>
      <c r="H11" s="106">
        <v>8</v>
      </c>
      <c r="I11" s="1" t="s">
        <v>1610</v>
      </c>
      <c r="J11" s="88"/>
      <c r="K11" s="84"/>
      <c r="L11" s="111"/>
      <c r="M11" s="7"/>
      <c r="N11" s="66">
        <v>8</v>
      </c>
      <c r="O11" s="110" t="s">
        <v>1611</v>
      </c>
      <c r="P11" s="7"/>
      <c r="Q11" s="240"/>
      <c r="R11" s="242"/>
      <c r="S11" s="235"/>
      <c r="T11" s="133" t="s">
        <v>41</v>
      </c>
      <c r="U11" s="7"/>
      <c r="X11" s="91" t="s">
        <v>1612</v>
      </c>
      <c r="Y11" s="7"/>
    </row>
    <row r="12" spans="1:26" ht="38.25" x14ac:dyDescent="0.2">
      <c r="A12" s="105" t="s">
        <v>1613</v>
      </c>
      <c r="B12" s="81" t="s">
        <v>1614</v>
      </c>
      <c r="C12" s="50">
        <v>8</v>
      </c>
      <c r="D12" s="128" t="s">
        <v>1615</v>
      </c>
      <c r="E12" s="5"/>
      <c r="F12" s="7"/>
      <c r="G12" s="7"/>
      <c r="H12" s="106">
        <v>9</v>
      </c>
      <c r="I12" s="1" t="s">
        <v>1616</v>
      </c>
      <c r="J12" s="88"/>
      <c r="K12" s="84"/>
      <c r="L12" s="111"/>
      <c r="M12" s="7"/>
      <c r="N12" s="66">
        <v>9</v>
      </c>
      <c r="O12" s="110" t="s">
        <v>38</v>
      </c>
      <c r="P12" s="7"/>
      <c r="Q12" s="240"/>
      <c r="R12" s="242"/>
      <c r="S12" s="134" t="s">
        <v>1607</v>
      </c>
      <c r="T12" s="135"/>
      <c r="U12" s="7"/>
      <c r="X12" s="91" t="s">
        <v>1617</v>
      </c>
      <c r="Y12" s="7"/>
    </row>
    <row r="13" spans="1:26" ht="51" x14ac:dyDescent="0.2">
      <c r="A13" s="105" t="s">
        <v>1618</v>
      </c>
      <c r="B13" s="81" t="s">
        <v>1619</v>
      </c>
      <c r="C13" s="50">
        <v>8</v>
      </c>
      <c r="D13" s="5"/>
      <c r="E13" s="5"/>
      <c r="F13" s="7"/>
      <c r="G13" s="7"/>
      <c r="H13" s="106">
        <v>10</v>
      </c>
      <c r="I13" s="1" t="s">
        <v>1620</v>
      </c>
      <c r="J13" s="88"/>
      <c r="K13" s="84"/>
      <c r="L13" s="111"/>
      <c r="M13" s="7"/>
      <c r="N13" s="66">
        <v>10</v>
      </c>
      <c r="O13" s="110" t="s">
        <v>1621</v>
      </c>
      <c r="P13" s="7"/>
      <c r="Q13" s="240"/>
      <c r="R13" s="242"/>
      <c r="S13" s="135" t="s">
        <v>1612</v>
      </c>
      <c r="T13" s="135"/>
      <c r="U13" s="7"/>
      <c r="X13" s="91" t="s">
        <v>1622</v>
      </c>
      <c r="Y13" s="7"/>
    </row>
    <row r="14" spans="1:26" ht="51" x14ac:dyDescent="0.2">
      <c r="A14" s="105" t="s">
        <v>1623</v>
      </c>
      <c r="B14" s="81" t="s">
        <v>1624</v>
      </c>
      <c r="C14" s="50">
        <v>8</v>
      </c>
      <c r="D14" s="5"/>
      <c r="E14" s="5"/>
      <c r="F14" s="7"/>
      <c r="G14" s="7"/>
      <c r="H14" s="106">
        <v>11</v>
      </c>
      <c r="I14" s="1" t="s">
        <v>1625</v>
      </c>
      <c r="J14" s="88"/>
      <c r="K14" s="84"/>
      <c r="L14" s="111"/>
      <c r="M14" s="7"/>
      <c r="N14" s="66">
        <v>11</v>
      </c>
      <c r="O14" s="110" t="s">
        <v>1626</v>
      </c>
      <c r="P14" s="7"/>
      <c r="Q14" s="240"/>
      <c r="R14" s="242"/>
      <c r="S14" s="135" t="s">
        <v>1617</v>
      </c>
      <c r="T14" s="135"/>
      <c r="U14" s="7"/>
      <c r="X14" s="91" t="s">
        <v>1627</v>
      </c>
      <c r="Y14" s="7"/>
    </row>
    <row r="15" spans="1:26" ht="89.25" x14ac:dyDescent="0.2">
      <c r="A15" s="105" t="s">
        <v>1628</v>
      </c>
      <c r="B15" s="81" t="s">
        <v>1629</v>
      </c>
      <c r="C15" s="50">
        <v>11</v>
      </c>
      <c r="D15" s="128" t="s">
        <v>1630</v>
      </c>
      <c r="E15" s="5"/>
      <c r="F15" s="7"/>
      <c r="G15" s="7"/>
      <c r="H15" s="106">
        <v>12</v>
      </c>
      <c r="I15" s="1" t="s">
        <v>1631</v>
      </c>
      <c r="J15" s="88"/>
      <c r="K15" s="84"/>
      <c r="L15" s="111"/>
      <c r="M15" s="7"/>
      <c r="N15" s="66">
        <v>12</v>
      </c>
      <c r="O15" s="110" t="s">
        <v>1632</v>
      </c>
      <c r="P15" s="7"/>
      <c r="Q15" s="240"/>
      <c r="R15" s="242"/>
      <c r="S15" s="135" t="s">
        <v>1622</v>
      </c>
      <c r="T15" s="135" t="s">
        <v>1593</v>
      </c>
      <c r="U15" s="7"/>
      <c r="X15" s="92" t="s">
        <v>1633</v>
      </c>
      <c r="Y15" s="7"/>
    </row>
    <row r="16" spans="1:26" ht="76.5" x14ac:dyDescent="0.2">
      <c r="A16" s="105" t="s">
        <v>1634</v>
      </c>
      <c r="B16" s="81" t="s">
        <v>1569</v>
      </c>
      <c r="C16" s="50">
        <v>11</v>
      </c>
      <c r="D16" s="5"/>
      <c r="E16" s="5"/>
      <c r="F16" s="7"/>
      <c r="G16" s="7"/>
      <c r="H16" s="106">
        <v>13</v>
      </c>
      <c r="I16" s="107" t="s">
        <v>36</v>
      </c>
      <c r="J16" s="88"/>
      <c r="K16" s="84"/>
      <c r="L16" s="111"/>
      <c r="M16" s="7"/>
      <c r="N16" s="66">
        <v>13</v>
      </c>
      <c r="O16" s="110" t="s">
        <v>1635</v>
      </c>
      <c r="P16" s="7"/>
      <c r="Q16" s="240"/>
      <c r="R16" s="242"/>
      <c r="S16" s="135" t="s">
        <v>1627</v>
      </c>
      <c r="T16" s="135"/>
      <c r="U16" s="7"/>
      <c r="X16" s="92" t="s">
        <v>46</v>
      </c>
      <c r="Y16" s="7"/>
    </row>
    <row r="17" spans="1:26" ht="38.25" x14ac:dyDescent="0.2">
      <c r="A17" s="105" t="s">
        <v>1636</v>
      </c>
      <c r="B17" s="81" t="s">
        <v>1577</v>
      </c>
      <c r="C17" s="50">
        <v>11</v>
      </c>
      <c r="D17" s="5"/>
      <c r="E17" s="5"/>
      <c r="F17" s="7"/>
      <c r="G17" s="7"/>
      <c r="H17" s="106">
        <v>14</v>
      </c>
      <c r="I17" s="107" t="s">
        <v>1637</v>
      </c>
      <c r="J17" s="88"/>
      <c r="K17" s="84"/>
      <c r="L17" s="111"/>
      <c r="M17" s="7"/>
      <c r="N17" s="66">
        <v>14</v>
      </c>
      <c r="O17" s="110" t="s">
        <v>1638</v>
      </c>
      <c r="P17" s="7"/>
      <c r="Q17" s="240"/>
      <c r="R17" s="242"/>
      <c r="S17" s="133" t="s">
        <v>1633</v>
      </c>
      <c r="T17" s="135"/>
      <c r="U17" s="7"/>
      <c r="X17" s="92" t="s">
        <v>59</v>
      </c>
      <c r="Y17" s="7"/>
    </row>
    <row r="18" spans="1:26" ht="76.5" x14ac:dyDescent="0.2">
      <c r="A18" s="105" t="s">
        <v>1639</v>
      </c>
      <c r="B18" s="81" t="s">
        <v>70</v>
      </c>
      <c r="C18" s="50">
        <v>11</v>
      </c>
      <c r="D18" s="5"/>
      <c r="E18" s="5"/>
      <c r="F18" s="7"/>
      <c r="G18" s="7"/>
      <c r="J18" s="88"/>
      <c r="K18" s="84"/>
      <c r="L18" s="111"/>
      <c r="M18" s="7"/>
      <c r="N18" s="66">
        <v>15</v>
      </c>
      <c r="O18" s="110" t="s">
        <v>1640</v>
      </c>
      <c r="P18" s="7"/>
      <c r="Q18" s="240"/>
      <c r="R18" s="242"/>
      <c r="S18" s="133" t="s">
        <v>46</v>
      </c>
      <c r="T18" s="135" t="s">
        <v>47</v>
      </c>
      <c r="U18" s="7"/>
      <c r="Y18" s="7"/>
    </row>
    <row r="19" spans="1:26" ht="38.25" x14ac:dyDescent="0.2">
      <c r="A19" s="105" t="s">
        <v>1641</v>
      </c>
      <c r="B19" s="81" t="s">
        <v>1642</v>
      </c>
      <c r="C19" s="50">
        <v>11</v>
      </c>
      <c r="D19" s="5"/>
      <c r="E19" s="5"/>
      <c r="F19" s="7"/>
      <c r="G19" s="7"/>
      <c r="J19" s="88"/>
      <c r="K19" s="84"/>
      <c r="L19" s="111"/>
      <c r="M19" s="7"/>
      <c r="N19" s="66">
        <v>16</v>
      </c>
      <c r="O19" s="110" t="s">
        <v>1643</v>
      </c>
      <c r="P19" s="7"/>
      <c r="Q19" s="240"/>
      <c r="R19" s="242"/>
      <c r="S19" s="133" t="s">
        <v>59</v>
      </c>
      <c r="T19" s="135"/>
      <c r="U19" s="7"/>
      <c r="Y19" s="7"/>
    </row>
    <row r="20" spans="1:26" thickBot="1" x14ac:dyDescent="0.25">
      <c r="A20" s="105" t="s">
        <v>1644</v>
      </c>
      <c r="B20" s="81" t="s">
        <v>1645</v>
      </c>
      <c r="C20" s="50">
        <v>12</v>
      </c>
      <c r="D20" s="128" t="s">
        <v>1646</v>
      </c>
      <c r="E20" s="5"/>
      <c r="F20" s="7"/>
      <c r="G20" s="7"/>
      <c r="J20" s="88"/>
      <c r="K20" s="56"/>
      <c r="L20" s="82"/>
      <c r="M20" s="7"/>
      <c r="N20" s="72"/>
      <c r="O20" s="112"/>
      <c r="P20" s="7"/>
      <c r="Q20" s="7"/>
      <c r="R20" s="7"/>
      <c r="S20" s="7"/>
      <c r="T20" s="7"/>
      <c r="U20" s="7"/>
      <c r="X20" s="7"/>
      <c r="Y20" s="7"/>
      <c r="Z20" s="7"/>
    </row>
    <row r="21" spans="1:26" ht="12.75" x14ac:dyDescent="0.2">
      <c r="A21" s="105" t="s">
        <v>1647</v>
      </c>
      <c r="B21" s="81" t="s">
        <v>1648</v>
      </c>
      <c r="C21" s="50">
        <v>12</v>
      </c>
      <c r="D21" s="5"/>
      <c r="E21" s="5"/>
      <c r="F21" s="7"/>
      <c r="G21" s="7"/>
      <c r="J21" s="88"/>
      <c r="K21" s="56"/>
      <c r="L21" s="82"/>
      <c r="M21" s="7"/>
      <c r="P21" s="7"/>
      <c r="Q21" s="7"/>
      <c r="R21" s="7"/>
      <c r="S21" s="7"/>
      <c r="T21" s="7"/>
      <c r="U21" s="7"/>
      <c r="X21" s="7"/>
      <c r="Y21" s="7"/>
      <c r="Z21" s="7"/>
    </row>
    <row r="22" spans="1:26" ht="12.75" x14ac:dyDescent="0.2">
      <c r="A22" s="105" t="s">
        <v>1649</v>
      </c>
      <c r="B22" s="81" t="s">
        <v>1650</v>
      </c>
      <c r="C22" s="50">
        <v>12</v>
      </c>
      <c r="D22" s="5"/>
      <c r="E22" s="5"/>
      <c r="F22" s="7"/>
      <c r="G22" s="7"/>
      <c r="H22" s="55"/>
      <c r="J22" s="97"/>
      <c r="K22" s="56"/>
      <c r="L22" s="82"/>
      <c r="M22" s="7"/>
      <c r="P22" s="7"/>
      <c r="Q22" s="7"/>
      <c r="R22" s="7"/>
      <c r="S22" s="7"/>
      <c r="T22" s="7"/>
      <c r="U22" s="7"/>
      <c r="X22" s="7"/>
      <c r="Y22" s="7"/>
      <c r="Z22" s="7"/>
    </row>
    <row r="23" spans="1:26" ht="12.75" x14ac:dyDescent="0.2">
      <c r="A23" s="105" t="s">
        <v>1651</v>
      </c>
      <c r="B23" s="81" t="s">
        <v>53</v>
      </c>
      <c r="C23" s="50">
        <v>12</v>
      </c>
      <c r="D23" s="5"/>
      <c r="E23" s="5"/>
      <c r="F23" s="7"/>
      <c r="G23" s="7"/>
      <c r="H23" s="55"/>
      <c r="I23" s="97"/>
      <c r="J23" s="97"/>
      <c r="K23" s="56"/>
      <c r="L23" s="82"/>
      <c r="M23" s="7"/>
      <c r="P23" s="7"/>
      <c r="Q23" s="7"/>
      <c r="R23" s="7"/>
      <c r="S23" s="7"/>
      <c r="T23" s="7"/>
      <c r="U23" s="7"/>
      <c r="X23" s="7"/>
      <c r="Y23" s="7"/>
      <c r="Z23" s="7"/>
    </row>
    <row r="24" spans="1:26" ht="14.25" x14ac:dyDescent="0.2">
      <c r="A24" s="105" t="s">
        <v>1652</v>
      </c>
      <c r="B24" s="81" t="s">
        <v>76</v>
      </c>
      <c r="C24" s="50">
        <v>13</v>
      </c>
      <c r="D24" s="128" t="s">
        <v>1653</v>
      </c>
      <c r="E24" s="5"/>
      <c r="F24" s="7"/>
      <c r="G24" s="7"/>
      <c r="H24" s="55"/>
      <c r="I24" s="97"/>
      <c r="J24" s="97"/>
      <c r="K24" s="56"/>
      <c r="L24" s="82"/>
      <c r="M24" s="7"/>
      <c r="P24" s="7"/>
      <c r="Q24" s="7"/>
      <c r="R24" s="7"/>
      <c r="S24" s="7"/>
      <c r="T24" s="7"/>
      <c r="U24" s="7"/>
      <c r="X24" s="97"/>
      <c r="Y24" s="97"/>
      <c r="Z24" s="97"/>
    </row>
    <row r="25" spans="1:26" ht="33.6" customHeight="1" x14ac:dyDescent="0.2">
      <c r="A25" s="105" t="s">
        <v>1654</v>
      </c>
      <c r="B25" s="81" t="s">
        <v>70</v>
      </c>
      <c r="C25" s="50">
        <v>13</v>
      </c>
      <c r="E25" s="5"/>
      <c r="F25" s="7"/>
      <c r="G25" s="7"/>
      <c r="H25" s="55"/>
      <c r="I25" s="97"/>
      <c r="J25" s="97"/>
      <c r="K25" s="56"/>
      <c r="L25" s="82"/>
      <c r="M25" s="7"/>
      <c r="P25" s="7"/>
      <c r="Q25" s="7"/>
      <c r="R25" s="7"/>
      <c r="S25" s="7"/>
      <c r="T25" s="7"/>
      <c r="U25" s="7"/>
      <c r="X25" s="97"/>
      <c r="Y25" s="97"/>
      <c r="Z25" s="97"/>
    </row>
    <row r="26" spans="1:26" ht="59.45" customHeight="1" x14ac:dyDescent="0.2">
      <c r="A26" s="105" t="s">
        <v>1655</v>
      </c>
      <c r="B26" s="81" t="s">
        <v>1642</v>
      </c>
      <c r="C26" s="50">
        <v>13</v>
      </c>
      <c r="E26" s="5"/>
      <c r="F26" s="7"/>
      <c r="G26" s="7"/>
      <c r="H26" s="55"/>
      <c r="J26" s="97"/>
      <c r="O26" s="7"/>
      <c r="P26" s="7"/>
      <c r="Q26" s="7"/>
      <c r="R26" s="7"/>
      <c r="S26" s="7"/>
      <c r="T26" s="7"/>
      <c r="U26" s="7"/>
      <c r="X26" s="97"/>
      <c r="Y26" s="97"/>
      <c r="Z26" s="97"/>
    </row>
    <row r="27" spans="1:26" ht="25.5" customHeight="1" x14ac:dyDescent="0.2">
      <c r="A27" s="105" t="s">
        <v>1656</v>
      </c>
      <c r="B27" s="95" t="s">
        <v>1657</v>
      </c>
      <c r="C27" s="50">
        <v>14</v>
      </c>
      <c r="D27" s="128" t="s">
        <v>1658</v>
      </c>
      <c r="E27" s="5"/>
      <c r="F27" s="7"/>
      <c r="G27" s="7"/>
      <c r="H27" s="55"/>
      <c r="J27" s="97"/>
      <c r="M27" s="7"/>
      <c r="N27" s="55"/>
      <c r="O27" s="7"/>
      <c r="P27" s="7"/>
      <c r="Q27" s="7"/>
      <c r="R27" s="7"/>
      <c r="S27" s="7"/>
      <c r="T27" s="7"/>
      <c r="U27" s="7"/>
      <c r="X27" s="97"/>
      <c r="Y27" s="97"/>
      <c r="Z27" s="97"/>
    </row>
    <row r="28" spans="1:26" ht="12.75" x14ac:dyDescent="0.2">
      <c r="A28" s="105" t="s">
        <v>1659</v>
      </c>
      <c r="B28" s="95" t="s">
        <v>1660</v>
      </c>
      <c r="C28" s="50">
        <v>14</v>
      </c>
      <c r="D28" s="5"/>
      <c r="E28" s="5"/>
      <c r="F28" s="7"/>
      <c r="G28" s="7"/>
      <c r="H28" s="55"/>
      <c r="J28" s="97"/>
      <c r="M28" s="7"/>
      <c r="N28" s="55"/>
      <c r="P28" s="7"/>
      <c r="Q28" s="7"/>
      <c r="R28" s="7"/>
      <c r="S28" s="7"/>
      <c r="T28" s="7"/>
      <c r="U28" s="7"/>
      <c r="V28" s="7"/>
      <c r="W28" s="7"/>
    </row>
    <row r="29" spans="1:26" ht="14.25" x14ac:dyDescent="0.2">
      <c r="A29" s="105" t="s">
        <v>1661</v>
      </c>
      <c r="B29" s="81" t="s">
        <v>1629</v>
      </c>
      <c r="C29" s="50">
        <v>15</v>
      </c>
      <c r="D29" s="128" t="s">
        <v>1662</v>
      </c>
      <c r="E29" s="5"/>
      <c r="F29" s="7"/>
      <c r="G29" s="7"/>
      <c r="H29" s="55"/>
      <c r="J29" s="97"/>
      <c r="M29" s="7"/>
      <c r="N29" s="55"/>
      <c r="P29" s="7"/>
      <c r="Q29" s="7"/>
      <c r="R29" s="7"/>
      <c r="S29" s="7"/>
      <c r="T29" s="7"/>
      <c r="U29" s="7"/>
      <c r="V29" s="7"/>
      <c r="W29" s="7"/>
    </row>
    <row r="30" spans="1:26" ht="12.75" x14ac:dyDescent="0.2">
      <c r="A30" s="105" t="s">
        <v>1663</v>
      </c>
      <c r="B30" s="83" t="s">
        <v>1664</v>
      </c>
      <c r="C30" s="50">
        <v>15</v>
      </c>
      <c r="D30" s="5"/>
      <c r="E30" s="5"/>
      <c r="F30" s="7"/>
      <c r="G30" s="7"/>
      <c r="H30" s="55"/>
      <c r="J30" s="97"/>
      <c r="M30" s="7"/>
      <c r="N30" s="55"/>
      <c r="P30" s="7"/>
      <c r="Q30" s="7"/>
      <c r="R30" s="7"/>
      <c r="S30" s="7"/>
      <c r="T30" s="7"/>
      <c r="U30" s="7"/>
      <c r="V30" s="7"/>
      <c r="W30" s="7"/>
    </row>
    <row r="31" spans="1:26" ht="12.75" x14ac:dyDescent="0.2">
      <c r="A31" s="105" t="s">
        <v>1665</v>
      </c>
      <c r="B31" s="95" t="s">
        <v>1666</v>
      </c>
      <c r="C31" s="50">
        <v>15</v>
      </c>
      <c r="D31" s="5"/>
      <c r="E31" s="5"/>
      <c r="F31" s="7"/>
      <c r="G31" s="7"/>
      <c r="H31" s="55"/>
      <c r="J31" s="97"/>
      <c r="M31" s="7"/>
      <c r="N31" s="55"/>
      <c r="P31" s="7"/>
      <c r="Q31" s="7"/>
      <c r="R31" s="7"/>
      <c r="S31" s="7"/>
      <c r="T31" s="7"/>
      <c r="U31" s="7"/>
      <c r="V31" s="7"/>
      <c r="W31" s="7"/>
    </row>
    <row r="32" spans="1:26" ht="12.75" x14ac:dyDescent="0.2">
      <c r="A32" s="105" t="s">
        <v>1667</v>
      </c>
      <c r="B32" s="83" t="s">
        <v>1668</v>
      </c>
      <c r="C32" s="50">
        <v>15</v>
      </c>
      <c r="D32" s="5"/>
      <c r="E32" s="5"/>
      <c r="F32" s="7"/>
      <c r="G32" s="7"/>
      <c r="H32" s="55"/>
      <c r="J32" s="97"/>
      <c r="M32" s="7"/>
      <c r="N32" s="7"/>
      <c r="O32" s="7"/>
      <c r="P32" s="7"/>
      <c r="Q32" s="7"/>
      <c r="R32" s="7"/>
      <c r="S32" s="7"/>
      <c r="T32" s="7"/>
      <c r="U32" s="7"/>
      <c r="V32" s="7"/>
      <c r="W32" s="7"/>
    </row>
    <row r="33" spans="1:23" ht="25.5" customHeight="1" x14ac:dyDescent="0.2">
      <c r="A33" s="105" t="s">
        <v>1669</v>
      </c>
      <c r="B33" s="95" t="s">
        <v>1624</v>
      </c>
      <c r="C33" s="50">
        <v>15</v>
      </c>
      <c r="D33" s="5"/>
      <c r="E33" s="5"/>
      <c r="F33" s="7"/>
      <c r="G33" s="7"/>
      <c r="H33" s="55"/>
      <c r="J33" s="97"/>
      <c r="M33" s="7"/>
      <c r="N33" s="7"/>
      <c r="O33" s="7"/>
      <c r="P33" s="7"/>
      <c r="Q33" s="7"/>
      <c r="R33" s="7"/>
      <c r="S33" s="7"/>
      <c r="T33" s="7"/>
      <c r="U33" s="7"/>
      <c r="V33" s="7"/>
      <c r="W33" s="7"/>
    </row>
    <row r="34" spans="1:23" ht="12.75" x14ac:dyDescent="0.2">
      <c r="A34" s="105" t="s">
        <v>1670</v>
      </c>
      <c r="B34" s="95" t="s">
        <v>1671</v>
      </c>
      <c r="C34" s="50">
        <v>15</v>
      </c>
      <c r="D34" s="5"/>
      <c r="E34" s="5"/>
      <c r="F34" s="7"/>
      <c r="G34" s="7"/>
      <c r="H34" s="55"/>
      <c r="J34" s="97"/>
      <c r="M34" s="7"/>
      <c r="N34" s="7"/>
      <c r="O34" s="7"/>
      <c r="P34" s="7"/>
      <c r="Q34" s="7"/>
      <c r="R34" s="7"/>
      <c r="S34" s="7"/>
      <c r="T34" s="7"/>
      <c r="U34" s="7"/>
      <c r="V34" s="7"/>
      <c r="W34" s="7"/>
    </row>
    <row r="35" spans="1:23" ht="12.75" x14ac:dyDescent="0.2">
      <c r="A35" s="105" t="s">
        <v>1672</v>
      </c>
      <c r="B35" s="83" t="s">
        <v>1673</v>
      </c>
      <c r="C35" s="50">
        <v>15</v>
      </c>
      <c r="D35" s="5"/>
      <c r="E35" s="5"/>
      <c r="F35" s="7"/>
      <c r="G35" s="7"/>
      <c r="H35" s="55"/>
      <c r="J35" s="97"/>
      <c r="M35" s="7"/>
      <c r="N35" s="7"/>
      <c r="O35" s="7"/>
      <c r="P35" s="7"/>
      <c r="Q35" s="7"/>
      <c r="R35" s="7"/>
      <c r="S35" s="7"/>
      <c r="T35" s="7"/>
      <c r="U35" s="7"/>
      <c r="V35" s="7"/>
      <c r="W35" s="7"/>
    </row>
    <row r="36" spans="1:23" ht="12.75" x14ac:dyDescent="0.2">
      <c r="A36" s="129" t="s">
        <v>1674</v>
      </c>
      <c r="B36" s="85" t="s">
        <v>45</v>
      </c>
      <c r="C36" s="53">
        <v>15</v>
      </c>
      <c r="D36" s="5"/>
      <c r="E36" s="5"/>
      <c r="F36" s="7"/>
      <c r="G36" s="7"/>
      <c r="H36" s="55"/>
      <c r="J36" s="97"/>
      <c r="M36" s="7"/>
      <c r="N36" s="7"/>
      <c r="O36" s="7"/>
      <c r="P36" s="7"/>
      <c r="Q36" s="7"/>
      <c r="R36" s="7"/>
      <c r="S36" s="7"/>
      <c r="T36" s="7"/>
      <c r="U36" s="7"/>
      <c r="V36" s="7"/>
      <c r="W36" s="7"/>
    </row>
    <row r="37" spans="1:23" ht="13.5" thickBot="1" x14ac:dyDescent="0.25">
      <c r="A37" s="86"/>
      <c r="B37" s="87" t="s">
        <v>34</v>
      </c>
      <c r="C37" s="54"/>
      <c r="D37" s="5"/>
      <c r="E37" s="5"/>
      <c r="F37" s="7"/>
      <c r="G37" s="7"/>
      <c r="H37" s="55"/>
      <c r="J37" s="97"/>
      <c r="M37" s="7"/>
      <c r="N37" s="7"/>
      <c r="O37" s="7"/>
      <c r="P37" s="7"/>
      <c r="Q37" s="7"/>
      <c r="R37" s="7"/>
      <c r="S37" s="7"/>
      <c r="T37" s="7"/>
      <c r="U37" s="7"/>
      <c r="V37" s="7"/>
      <c r="W37" s="7"/>
    </row>
    <row r="38" spans="1:23" ht="12.75" x14ac:dyDescent="0.2">
      <c r="A38" s="7"/>
      <c r="F38" s="7"/>
      <c r="G38" s="7"/>
      <c r="H38" s="55"/>
      <c r="J38" s="97"/>
      <c r="M38" s="7"/>
      <c r="N38" s="7"/>
      <c r="O38" s="7"/>
      <c r="P38" s="7"/>
      <c r="Q38" s="7"/>
      <c r="R38" s="7"/>
      <c r="S38" s="7"/>
      <c r="T38" s="7"/>
      <c r="U38" s="7"/>
      <c r="V38" s="7"/>
      <c r="W38" s="7"/>
    </row>
    <row r="39" spans="1:23" ht="12.75" x14ac:dyDescent="0.2">
      <c r="A39" s="7"/>
      <c r="M39" s="7"/>
      <c r="N39" s="7"/>
      <c r="O39" s="7"/>
      <c r="P39" s="7"/>
      <c r="Q39" s="7"/>
      <c r="R39" s="7"/>
      <c r="S39" s="7"/>
      <c r="T39" s="7"/>
      <c r="U39" s="7"/>
      <c r="V39" s="7"/>
      <c r="W39" s="7"/>
    </row>
    <row r="40" spans="1:23" ht="12.75" x14ac:dyDescent="0.2">
      <c r="A40" s="7"/>
      <c r="M40" s="7"/>
      <c r="N40" s="7"/>
      <c r="O40" s="7"/>
      <c r="P40" s="7"/>
      <c r="Q40" s="7"/>
      <c r="R40" s="7"/>
      <c r="S40" s="7"/>
      <c r="T40" s="7"/>
      <c r="U40" s="7"/>
      <c r="V40" s="7"/>
      <c r="W40" s="7"/>
    </row>
    <row r="41" spans="1:23" ht="12.75" x14ac:dyDescent="0.2">
      <c r="A41" s="7"/>
      <c r="M41" s="7"/>
      <c r="N41" s="7"/>
      <c r="O41" s="7"/>
      <c r="P41" s="7"/>
      <c r="Q41" s="7"/>
      <c r="R41" s="7"/>
      <c r="S41" s="7"/>
      <c r="T41" s="7"/>
      <c r="U41" s="7"/>
      <c r="V41" s="7"/>
      <c r="W41" s="7"/>
    </row>
    <row r="42" spans="1:23" ht="12.75" x14ac:dyDescent="0.2">
      <c r="A42" s="7"/>
      <c r="M42" s="7"/>
      <c r="N42" s="7"/>
      <c r="O42" s="7"/>
      <c r="P42" s="7"/>
      <c r="Q42" s="7"/>
      <c r="R42" s="7"/>
      <c r="S42" s="7"/>
      <c r="T42" s="7"/>
      <c r="U42" s="7"/>
      <c r="V42" s="7"/>
      <c r="W42" s="7"/>
    </row>
    <row r="43" spans="1:23" ht="12.75" x14ac:dyDescent="0.2">
      <c r="A43" s="7"/>
      <c r="M43" s="7"/>
      <c r="N43" s="7"/>
      <c r="O43" s="7"/>
      <c r="P43" s="7"/>
      <c r="Q43" s="7"/>
      <c r="R43" s="7"/>
      <c r="S43" s="7"/>
      <c r="T43" s="7"/>
      <c r="U43" s="7"/>
      <c r="V43" s="7"/>
      <c r="W43" s="7"/>
    </row>
    <row r="44" spans="1:23" ht="15.75" customHeight="1" x14ac:dyDescent="0.2">
      <c r="A44" s="7"/>
      <c r="M44" s="7"/>
      <c r="N44" s="7"/>
      <c r="O44" s="7"/>
      <c r="P44" s="7"/>
      <c r="Q44" s="7"/>
      <c r="R44" s="7"/>
      <c r="S44" s="7"/>
      <c r="T44" s="7"/>
      <c r="U44" s="7"/>
      <c r="V44" s="7"/>
      <c r="W44" s="7"/>
    </row>
    <row r="45" spans="1:23" ht="15.75" customHeight="1" x14ac:dyDescent="0.2">
      <c r="A45" s="7"/>
      <c r="L45" s="97"/>
      <c r="M45" s="7"/>
      <c r="N45" s="7"/>
      <c r="O45" s="7"/>
      <c r="P45" s="7"/>
      <c r="Q45" s="7"/>
      <c r="R45" s="7"/>
      <c r="S45" s="7"/>
      <c r="T45" s="7"/>
      <c r="U45" s="7"/>
      <c r="V45" s="7"/>
      <c r="W45" s="7"/>
    </row>
    <row r="46" spans="1:23" ht="15.75" customHeight="1" x14ac:dyDescent="0.2">
      <c r="A46" s="7"/>
      <c r="L46" s="97"/>
      <c r="M46" s="7"/>
      <c r="N46" s="7"/>
      <c r="O46" s="7"/>
      <c r="P46" s="7"/>
      <c r="Q46" s="7"/>
      <c r="R46" s="7"/>
      <c r="S46" s="7"/>
      <c r="T46" s="7"/>
      <c r="U46" s="7"/>
      <c r="V46" s="7"/>
      <c r="W46" s="7"/>
    </row>
    <row r="47" spans="1:23" ht="15.75" customHeight="1" x14ac:dyDescent="0.2">
      <c r="A47" s="7"/>
      <c r="L47" s="97"/>
      <c r="M47" s="7"/>
      <c r="N47" s="7"/>
      <c r="O47" s="7"/>
      <c r="P47" s="7"/>
      <c r="Q47" s="7"/>
      <c r="R47" s="7"/>
      <c r="S47" s="7"/>
      <c r="T47" s="7"/>
      <c r="U47" s="7"/>
      <c r="V47" s="7"/>
      <c r="W47" s="7"/>
    </row>
    <row r="48" spans="1:23" ht="15.75" customHeight="1" x14ac:dyDescent="0.2">
      <c r="A48" s="7"/>
      <c r="L48" s="97"/>
      <c r="M48" s="7"/>
      <c r="N48" s="7"/>
      <c r="O48" s="7"/>
      <c r="P48" s="7"/>
      <c r="Q48" s="7"/>
      <c r="R48" s="7"/>
      <c r="S48" s="7"/>
      <c r="T48" s="7"/>
      <c r="U48" s="7"/>
      <c r="V48" s="7"/>
      <c r="W48" s="7"/>
    </row>
    <row r="49" spans="1:23" ht="15.75" customHeight="1" x14ac:dyDescent="0.2">
      <c r="A49" s="7"/>
      <c r="L49" s="97"/>
      <c r="M49" s="7"/>
      <c r="N49" s="7"/>
      <c r="O49" s="7"/>
      <c r="P49" s="7"/>
      <c r="Q49" s="7"/>
      <c r="R49" s="7"/>
      <c r="S49" s="7"/>
      <c r="T49" s="7"/>
      <c r="U49" s="7"/>
      <c r="V49" s="7"/>
      <c r="W49" s="7"/>
    </row>
    <row r="50" spans="1:23" ht="15.75" customHeight="1" x14ac:dyDescent="0.2">
      <c r="A50" s="7"/>
      <c r="L50" s="97"/>
      <c r="M50" s="7"/>
      <c r="N50" s="7"/>
      <c r="O50" s="7"/>
      <c r="P50" s="7"/>
      <c r="Q50" s="7"/>
      <c r="R50" s="7"/>
      <c r="S50" s="7"/>
      <c r="T50" s="7"/>
      <c r="U50" s="7"/>
      <c r="V50" s="7"/>
      <c r="W50" s="7"/>
    </row>
    <row r="51" spans="1:23" ht="15.75" customHeight="1" x14ac:dyDescent="0.2">
      <c r="A51" s="7"/>
      <c r="L51" s="97"/>
      <c r="M51" s="7"/>
      <c r="N51" s="7"/>
      <c r="O51" s="7"/>
      <c r="P51" s="7"/>
      <c r="Q51" s="7"/>
      <c r="R51" s="7"/>
      <c r="S51" s="7"/>
      <c r="T51" s="7"/>
      <c r="U51" s="7"/>
      <c r="V51" s="7"/>
      <c r="W51" s="7"/>
    </row>
    <row r="52" spans="1:23" ht="15.75" customHeight="1" x14ac:dyDescent="0.2">
      <c r="A52" s="7"/>
      <c r="L52" s="97"/>
      <c r="M52" s="7"/>
      <c r="N52" s="7"/>
      <c r="O52" s="7"/>
      <c r="P52" s="7"/>
      <c r="Q52" s="7"/>
      <c r="R52" s="7"/>
      <c r="S52" s="7"/>
      <c r="T52" s="7"/>
      <c r="U52" s="7"/>
      <c r="V52" s="7"/>
      <c r="W52" s="7"/>
    </row>
    <row r="53" spans="1:23" ht="15.75" customHeight="1" x14ac:dyDescent="0.2">
      <c r="A53" s="7"/>
      <c r="L53" s="97"/>
      <c r="M53" s="7"/>
      <c r="N53" s="7"/>
      <c r="O53" s="7"/>
      <c r="P53" s="7"/>
      <c r="Q53" s="7"/>
      <c r="R53" s="7"/>
      <c r="S53" s="7"/>
      <c r="T53" s="7"/>
      <c r="U53" s="7"/>
      <c r="V53" s="7"/>
      <c r="W53" s="7"/>
    </row>
    <row r="54" spans="1:23" ht="15.75" customHeight="1" x14ac:dyDescent="0.2">
      <c r="A54" s="7"/>
      <c r="L54" s="97"/>
      <c r="M54" s="7"/>
      <c r="N54" s="7"/>
      <c r="O54" s="7"/>
      <c r="P54" s="7"/>
      <c r="Q54" s="7"/>
      <c r="R54" s="7"/>
      <c r="S54" s="7"/>
      <c r="T54" s="7"/>
      <c r="U54" s="7"/>
      <c r="V54" s="7"/>
      <c r="W54" s="7"/>
    </row>
    <row r="55" spans="1:23" ht="15.75" customHeight="1" x14ac:dyDescent="0.2">
      <c r="A55" s="7"/>
      <c r="L55" s="97"/>
      <c r="M55" s="7"/>
      <c r="N55" s="7"/>
      <c r="O55" s="7"/>
      <c r="P55" s="7"/>
      <c r="Q55" s="7"/>
      <c r="R55" s="7"/>
      <c r="S55" s="7"/>
      <c r="T55" s="7"/>
      <c r="U55" s="7"/>
      <c r="V55" s="7"/>
      <c r="W55" s="7"/>
    </row>
    <row r="56" spans="1:23" ht="15.75" customHeight="1" x14ac:dyDescent="0.2">
      <c r="A56" s="7"/>
      <c r="L56" s="97"/>
      <c r="M56" s="7"/>
      <c r="N56" s="7"/>
      <c r="O56" s="7"/>
      <c r="P56" s="7"/>
      <c r="Q56" s="7"/>
      <c r="R56" s="7"/>
      <c r="S56" s="7"/>
      <c r="T56" s="7"/>
      <c r="U56" s="7"/>
      <c r="V56" s="7"/>
      <c r="W56" s="7"/>
    </row>
    <row r="57" spans="1:23" ht="15.75" customHeight="1" x14ac:dyDescent="0.2">
      <c r="A57" s="7"/>
      <c r="L57" s="97"/>
      <c r="M57" s="7"/>
      <c r="N57" s="7"/>
      <c r="O57" s="7"/>
      <c r="P57" s="7"/>
      <c r="Q57" s="7"/>
      <c r="R57" s="7"/>
      <c r="S57" s="7"/>
      <c r="T57" s="7"/>
      <c r="U57" s="7"/>
      <c r="V57" s="7"/>
      <c r="W57" s="7"/>
    </row>
    <row r="58" spans="1:23" ht="15.75" customHeight="1" x14ac:dyDescent="0.2">
      <c r="A58" s="7"/>
      <c r="L58" s="97"/>
      <c r="M58" s="7"/>
      <c r="N58" s="7"/>
      <c r="O58" s="7"/>
      <c r="P58" s="7"/>
      <c r="Q58" s="7"/>
      <c r="R58" s="7"/>
      <c r="S58" s="7"/>
      <c r="T58" s="7"/>
      <c r="U58" s="7"/>
      <c r="V58" s="7"/>
      <c r="W58" s="7"/>
    </row>
    <row r="59" spans="1:23" ht="15.75" customHeight="1" x14ac:dyDescent="0.2">
      <c r="A59" s="7"/>
      <c r="L59" s="97"/>
      <c r="M59" s="7"/>
      <c r="N59" s="7"/>
      <c r="O59" s="7"/>
      <c r="P59" s="7"/>
      <c r="Q59" s="7"/>
      <c r="R59" s="7"/>
      <c r="S59" s="7"/>
      <c r="T59" s="7"/>
      <c r="U59" s="7"/>
      <c r="V59" s="7"/>
      <c r="W59" s="7"/>
    </row>
    <row r="60" spans="1:23" ht="15.75" customHeight="1" x14ac:dyDescent="0.2">
      <c r="A60" s="7"/>
      <c r="L60" s="97"/>
      <c r="M60" s="7"/>
      <c r="N60" s="7"/>
      <c r="O60" s="7"/>
      <c r="P60" s="7"/>
      <c r="Q60" s="7"/>
      <c r="R60" s="7"/>
      <c r="S60" s="7"/>
      <c r="T60" s="7"/>
      <c r="U60" s="7"/>
      <c r="V60" s="7"/>
      <c r="W60" s="7"/>
    </row>
    <row r="61" spans="1:23" ht="15.75" customHeight="1" x14ac:dyDescent="0.2">
      <c r="A61" s="7"/>
      <c r="L61" s="97"/>
      <c r="M61" s="7"/>
      <c r="N61" s="7"/>
      <c r="O61" s="7"/>
      <c r="P61" s="7"/>
      <c r="Q61" s="7"/>
      <c r="R61" s="7"/>
      <c r="S61" s="7"/>
      <c r="T61" s="7"/>
      <c r="U61" s="7"/>
      <c r="V61" s="7"/>
      <c r="W61" s="7"/>
    </row>
    <row r="62" spans="1:23" ht="15.75" customHeight="1" x14ac:dyDescent="0.2">
      <c r="A62" s="7"/>
      <c r="L62" s="97"/>
      <c r="M62" s="7"/>
      <c r="N62" s="7"/>
      <c r="O62" s="7"/>
      <c r="P62" s="7"/>
      <c r="Q62" s="7"/>
      <c r="R62" s="7"/>
      <c r="S62" s="7"/>
      <c r="T62" s="7"/>
      <c r="U62" s="7"/>
      <c r="V62" s="7"/>
      <c r="W62" s="7"/>
    </row>
    <row r="63" spans="1:23" ht="15.75" customHeight="1" x14ac:dyDescent="0.2">
      <c r="A63" s="7"/>
      <c r="L63" s="97"/>
      <c r="M63" s="7"/>
      <c r="N63" s="7"/>
      <c r="O63" s="7"/>
      <c r="P63" s="7"/>
      <c r="Q63" s="7"/>
      <c r="R63" s="7"/>
      <c r="S63" s="7"/>
      <c r="T63" s="7"/>
      <c r="U63" s="7"/>
      <c r="V63" s="7"/>
      <c r="W63" s="7"/>
    </row>
    <row r="64" spans="1:23" ht="15.75" customHeight="1" x14ac:dyDescent="0.2">
      <c r="A64" s="7"/>
      <c r="L64" s="97"/>
      <c r="M64" s="7"/>
      <c r="N64" s="7"/>
      <c r="O64" s="7"/>
      <c r="P64" s="7"/>
      <c r="Q64" s="7"/>
      <c r="R64" s="7"/>
      <c r="S64" s="7"/>
      <c r="T64" s="7"/>
      <c r="U64" s="7"/>
      <c r="V64" s="7"/>
      <c r="W64" s="7"/>
    </row>
    <row r="65" spans="1:23" ht="15.75" customHeight="1" x14ac:dyDescent="0.2">
      <c r="A65" s="7"/>
      <c r="F65" s="7"/>
      <c r="G65" s="7"/>
      <c r="H65" s="55"/>
      <c r="I65" s="97"/>
      <c r="J65" s="97"/>
      <c r="K65" s="97"/>
      <c r="L65" s="97"/>
      <c r="M65" s="7"/>
      <c r="N65" s="7"/>
      <c r="O65" s="7"/>
      <c r="P65" s="7"/>
      <c r="Q65" s="7"/>
      <c r="R65" s="7"/>
      <c r="S65" s="7"/>
      <c r="T65" s="7"/>
      <c r="U65" s="7"/>
      <c r="V65" s="7"/>
      <c r="W65" s="7"/>
    </row>
    <row r="66" spans="1:23" ht="15.75" customHeight="1" x14ac:dyDescent="0.2">
      <c r="A66" s="7"/>
      <c r="F66" s="7"/>
      <c r="G66" s="7"/>
      <c r="H66" s="55"/>
      <c r="I66" s="97"/>
      <c r="J66" s="97"/>
      <c r="K66" s="97"/>
      <c r="L66" s="97"/>
      <c r="M66" s="7"/>
      <c r="N66" s="7"/>
      <c r="O66" s="7"/>
      <c r="P66" s="7"/>
      <c r="Q66" s="7"/>
      <c r="R66" s="7"/>
      <c r="S66" s="7"/>
      <c r="T66" s="7"/>
      <c r="U66" s="7"/>
      <c r="V66" s="7"/>
      <c r="W66" s="7"/>
    </row>
    <row r="67" spans="1:23" ht="15.75" customHeight="1" x14ac:dyDescent="0.2">
      <c r="A67" s="7"/>
      <c r="F67" s="7"/>
      <c r="G67" s="7"/>
      <c r="H67" s="55"/>
      <c r="I67" s="97"/>
      <c r="J67" s="97"/>
      <c r="K67" s="97"/>
      <c r="L67" s="97"/>
      <c r="M67" s="7"/>
      <c r="N67" s="7"/>
      <c r="O67" s="7"/>
      <c r="P67" s="7"/>
      <c r="Q67" s="7"/>
      <c r="R67" s="7"/>
      <c r="S67" s="7"/>
      <c r="T67" s="7"/>
      <c r="U67" s="7"/>
      <c r="V67" s="7"/>
      <c r="W67" s="7"/>
    </row>
    <row r="68" spans="1:23" ht="15.75" customHeight="1" x14ac:dyDescent="0.2">
      <c r="A68" s="7"/>
      <c r="B68" s="55"/>
      <c r="C68" s="7"/>
      <c r="D68" s="7"/>
      <c r="E68" s="7"/>
      <c r="F68" s="7"/>
      <c r="G68" s="7"/>
      <c r="H68" s="55"/>
      <c r="I68" s="97"/>
      <c r="J68" s="97"/>
      <c r="K68" s="97"/>
      <c r="L68" s="97"/>
      <c r="M68" s="7"/>
      <c r="N68" s="7"/>
      <c r="O68" s="7"/>
      <c r="P68" s="7"/>
      <c r="Q68" s="7"/>
      <c r="R68" s="7"/>
      <c r="S68" s="7"/>
      <c r="T68" s="7"/>
      <c r="U68" s="7"/>
      <c r="V68" s="7"/>
      <c r="W68" s="7"/>
    </row>
    <row r="69" spans="1:23" ht="15.75" customHeight="1" x14ac:dyDescent="0.2">
      <c r="A69" s="7"/>
      <c r="B69" s="55"/>
      <c r="C69" s="7"/>
      <c r="D69" s="7"/>
      <c r="E69" s="7"/>
      <c r="F69" s="7"/>
      <c r="G69" s="7"/>
      <c r="H69" s="55"/>
      <c r="I69" s="97"/>
      <c r="J69" s="97"/>
      <c r="K69" s="97"/>
      <c r="L69" s="97"/>
      <c r="M69" s="7"/>
      <c r="N69" s="7"/>
      <c r="O69" s="7"/>
      <c r="P69" s="7"/>
      <c r="Q69" s="7"/>
      <c r="R69" s="7"/>
      <c r="S69" s="7"/>
      <c r="T69" s="7"/>
      <c r="U69" s="7"/>
      <c r="V69" s="7"/>
      <c r="W69" s="7"/>
    </row>
    <row r="70" spans="1:23" ht="15.75" customHeight="1" x14ac:dyDescent="0.2">
      <c r="A70" s="7"/>
      <c r="B70" s="55"/>
      <c r="C70" s="7"/>
      <c r="D70" s="7"/>
      <c r="E70" s="7"/>
      <c r="F70" s="7"/>
      <c r="G70" s="7"/>
      <c r="H70" s="55"/>
      <c r="I70" s="97"/>
      <c r="J70" s="97"/>
      <c r="K70" s="97"/>
      <c r="L70" s="97"/>
      <c r="M70" s="7"/>
      <c r="N70" s="7"/>
      <c r="O70" s="7"/>
      <c r="P70" s="7"/>
      <c r="Q70" s="7"/>
      <c r="R70" s="7"/>
      <c r="S70" s="7"/>
      <c r="T70" s="7"/>
      <c r="U70" s="7"/>
      <c r="V70" s="7"/>
      <c r="W70" s="7"/>
    </row>
    <row r="71" spans="1:23" ht="15.75" customHeight="1" x14ac:dyDescent="0.2">
      <c r="A71" s="7"/>
      <c r="B71" s="55"/>
      <c r="C71" s="7"/>
      <c r="D71" s="7"/>
      <c r="E71" s="7"/>
      <c r="F71" s="7"/>
      <c r="G71" s="7"/>
      <c r="H71" s="55"/>
      <c r="I71" s="97"/>
      <c r="J71" s="97"/>
      <c r="K71" s="97"/>
      <c r="L71" s="97"/>
      <c r="M71" s="7"/>
      <c r="N71" s="7"/>
      <c r="O71" s="7"/>
      <c r="P71" s="7"/>
      <c r="Q71" s="7"/>
      <c r="R71" s="7"/>
      <c r="S71" s="7"/>
      <c r="T71" s="7"/>
      <c r="U71" s="7"/>
      <c r="V71" s="7"/>
      <c r="W71" s="7"/>
    </row>
    <row r="72" spans="1:23" ht="15.75" customHeight="1" x14ac:dyDescent="0.2">
      <c r="A72" s="7"/>
      <c r="B72" s="55"/>
      <c r="C72" s="7"/>
      <c r="D72" s="7"/>
      <c r="E72" s="7"/>
      <c r="F72" s="7"/>
      <c r="G72" s="7"/>
      <c r="H72" s="55"/>
      <c r="I72" s="97"/>
      <c r="J72" s="97"/>
      <c r="K72" s="97"/>
      <c r="L72" s="97"/>
      <c r="M72" s="7"/>
      <c r="N72" s="7"/>
      <c r="O72" s="7"/>
      <c r="P72" s="7"/>
      <c r="Q72" s="7"/>
      <c r="R72" s="7"/>
      <c r="S72" s="7"/>
      <c r="T72" s="7"/>
      <c r="U72" s="7"/>
      <c r="V72" s="7"/>
      <c r="W72" s="7"/>
    </row>
    <row r="73" spans="1:23" ht="15.75" customHeight="1" x14ac:dyDescent="0.2">
      <c r="A73" s="7"/>
      <c r="B73" s="55"/>
      <c r="C73" s="7"/>
      <c r="D73" s="7"/>
      <c r="E73" s="7"/>
      <c r="F73" s="7"/>
      <c r="G73" s="7"/>
      <c r="H73" s="55"/>
      <c r="I73" s="97"/>
      <c r="J73" s="97"/>
      <c r="K73" s="97"/>
      <c r="L73" s="97"/>
      <c r="M73" s="7"/>
      <c r="N73" s="7"/>
      <c r="O73" s="7"/>
      <c r="P73" s="7"/>
      <c r="Q73" s="7"/>
      <c r="R73" s="7"/>
      <c r="S73" s="7"/>
      <c r="T73" s="7"/>
      <c r="U73" s="7"/>
      <c r="V73" s="7"/>
      <c r="W73" s="7"/>
    </row>
    <row r="74" spans="1:23" ht="15.75" customHeight="1" x14ac:dyDescent="0.2">
      <c r="A74" s="7"/>
      <c r="B74" s="55"/>
      <c r="C74" s="7"/>
      <c r="D74" s="7"/>
      <c r="E74" s="7"/>
      <c r="F74" s="7"/>
      <c r="G74" s="7"/>
      <c r="H74" s="55"/>
      <c r="I74" s="97"/>
      <c r="J74" s="97"/>
      <c r="K74" s="97"/>
      <c r="L74" s="97"/>
      <c r="M74" s="7"/>
      <c r="N74" s="7"/>
      <c r="O74" s="7"/>
      <c r="P74" s="7"/>
      <c r="Q74" s="7"/>
      <c r="R74" s="7"/>
      <c r="S74" s="7"/>
      <c r="T74" s="7"/>
      <c r="U74" s="7"/>
      <c r="V74" s="7"/>
      <c r="W74" s="7"/>
    </row>
    <row r="75" spans="1:23" ht="15.75" customHeight="1" x14ac:dyDescent="0.2">
      <c r="A75" s="7"/>
      <c r="B75" s="55"/>
      <c r="C75" s="7"/>
      <c r="D75" s="7"/>
      <c r="E75" s="7"/>
      <c r="F75" s="7"/>
      <c r="G75" s="7"/>
      <c r="H75" s="55"/>
      <c r="I75" s="97"/>
      <c r="J75" s="97"/>
      <c r="K75" s="97"/>
      <c r="L75" s="97"/>
      <c r="M75" s="7"/>
      <c r="N75" s="7"/>
      <c r="O75" s="7"/>
      <c r="P75" s="7"/>
      <c r="Q75" s="7"/>
      <c r="R75" s="7"/>
      <c r="S75" s="7"/>
      <c r="T75" s="7"/>
      <c r="U75" s="7"/>
      <c r="V75" s="7"/>
      <c r="W75" s="7"/>
    </row>
    <row r="76" spans="1:23" ht="15.75" customHeight="1" x14ac:dyDescent="0.2">
      <c r="A76" s="7"/>
      <c r="B76" s="55"/>
      <c r="C76" s="7"/>
      <c r="D76" s="7"/>
      <c r="E76" s="7"/>
      <c r="F76" s="7"/>
      <c r="G76" s="7"/>
      <c r="H76" s="55"/>
      <c r="I76" s="97"/>
      <c r="J76" s="97"/>
      <c r="K76" s="97"/>
      <c r="L76" s="97"/>
      <c r="M76" s="7"/>
      <c r="N76" s="7"/>
      <c r="O76" s="7"/>
      <c r="P76" s="7"/>
      <c r="Q76" s="7"/>
      <c r="R76" s="7"/>
      <c r="S76" s="7"/>
      <c r="T76" s="7"/>
      <c r="U76" s="7"/>
      <c r="V76" s="7"/>
      <c r="W76" s="7"/>
    </row>
    <row r="77" spans="1:23" ht="15.75" customHeight="1" x14ac:dyDescent="0.2">
      <c r="A77" s="7"/>
      <c r="B77" s="55"/>
      <c r="C77" s="7"/>
      <c r="D77" s="7"/>
      <c r="E77" s="7"/>
      <c r="F77" s="7"/>
      <c r="G77" s="7"/>
      <c r="H77" s="55"/>
      <c r="I77" s="97"/>
      <c r="J77" s="97"/>
      <c r="K77" s="97"/>
      <c r="L77" s="97"/>
      <c r="M77" s="7"/>
      <c r="N77" s="7"/>
      <c r="O77" s="7"/>
      <c r="P77" s="7"/>
      <c r="Q77" s="7"/>
      <c r="R77" s="7"/>
      <c r="S77" s="7"/>
      <c r="T77" s="7"/>
      <c r="U77" s="7"/>
      <c r="V77" s="7"/>
      <c r="W77" s="7"/>
    </row>
    <row r="78" spans="1:23" ht="15.75" customHeight="1" x14ac:dyDescent="0.2">
      <c r="A78" s="7"/>
      <c r="B78" s="55"/>
      <c r="C78" s="7"/>
      <c r="D78" s="7"/>
      <c r="E78" s="7"/>
      <c r="F78" s="7"/>
      <c r="G78" s="7"/>
      <c r="H78" s="55"/>
      <c r="I78" s="97"/>
      <c r="J78" s="97"/>
      <c r="K78" s="97"/>
      <c r="L78" s="97"/>
      <c r="M78" s="7"/>
      <c r="N78" s="7"/>
      <c r="O78" s="7"/>
      <c r="P78" s="7"/>
      <c r="Q78" s="7"/>
      <c r="R78" s="7"/>
      <c r="S78" s="7"/>
      <c r="T78" s="7"/>
      <c r="U78" s="7"/>
      <c r="V78" s="7"/>
      <c r="W78" s="7"/>
    </row>
    <row r="79" spans="1:23" ht="15.75" customHeight="1" x14ac:dyDescent="0.2">
      <c r="A79" s="7"/>
      <c r="B79" s="55"/>
      <c r="C79" s="7"/>
      <c r="D79" s="7"/>
      <c r="E79" s="7"/>
      <c r="F79" s="7"/>
      <c r="G79" s="7"/>
      <c r="H79" s="55"/>
      <c r="I79" s="97"/>
      <c r="J79" s="97"/>
      <c r="K79" s="97"/>
      <c r="L79" s="97"/>
      <c r="M79" s="7"/>
      <c r="N79" s="7"/>
      <c r="O79" s="7"/>
      <c r="P79" s="7"/>
      <c r="Q79" s="7"/>
      <c r="R79" s="7"/>
      <c r="S79" s="7"/>
      <c r="T79" s="7"/>
      <c r="U79" s="7"/>
      <c r="V79" s="7"/>
      <c r="W79" s="7"/>
    </row>
    <row r="80" spans="1:23" ht="15.75" customHeight="1" x14ac:dyDescent="0.2">
      <c r="A80" s="7"/>
      <c r="B80" s="55"/>
      <c r="C80" s="7"/>
      <c r="D80" s="7"/>
      <c r="E80" s="7"/>
      <c r="F80" s="7"/>
      <c r="G80" s="7"/>
      <c r="H80" s="55"/>
      <c r="I80" s="97"/>
      <c r="J80" s="97"/>
      <c r="K80" s="97"/>
      <c r="L80" s="97"/>
      <c r="M80" s="7"/>
      <c r="N80" s="7"/>
      <c r="O80" s="7"/>
      <c r="P80" s="7"/>
      <c r="Q80" s="7"/>
      <c r="R80" s="7"/>
      <c r="S80" s="7"/>
      <c r="T80" s="7"/>
      <c r="U80" s="7"/>
      <c r="V80" s="7"/>
      <c r="W80" s="7"/>
    </row>
    <row r="81" spans="1:23" ht="15.75" customHeight="1" x14ac:dyDescent="0.2">
      <c r="A81" s="7"/>
      <c r="B81" s="55"/>
      <c r="C81" s="7"/>
      <c r="D81" s="7"/>
      <c r="E81" s="7"/>
      <c r="F81" s="7"/>
      <c r="G81" s="7"/>
      <c r="H81" s="55"/>
      <c r="I81" s="97"/>
      <c r="J81" s="97"/>
      <c r="K81" s="97"/>
      <c r="L81" s="97"/>
      <c r="M81" s="7"/>
      <c r="N81" s="7"/>
      <c r="O81" s="7"/>
      <c r="P81" s="7"/>
      <c r="Q81" s="7"/>
      <c r="R81" s="7"/>
      <c r="S81" s="7"/>
      <c r="T81" s="7"/>
      <c r="U81" s="7"/>
      <c r="V81" s="7"/>
      <c r="W81" s="7"/>
    </row>
    <row r="82" spans="1:23" ht="15.75" customHeight="1" x14ac:dyDescent="0.2">
      <c r="A82" s="7"/>
      <c r="B82" s="55"/>
      <c r="C82" s="7"/>
      <c r="D82" s="7"/>
      <c r="E82" s="7"/>
      <c r="F82" s="7"/>
      <c r="G82" s="7"/>
      <c r="H82" s="55"/>
      <c r="I82" s="97"/>
      <c r="J82" s="97"/>
      <c r="K82" s="97"/>
      <c r="L82" s="97"/>
      <c r="M82" s="7"/>
      <c r="N82" s="7"/>
      <c r="O82" s="7"/>
      <c r="P82" s="7"/>
      <c r="Q82" s="7"/>
      <c r="R82" s="7"/>
      <c r="S82" s="7"/>
      <c r="T82" s="7"/>
      <c r="U82" s="7"/>
      <c r="V82" s="7"/>
      <c r="W82" s="7"/>
    </row>
    <row r="83" spans="1:23" ht="15.75" customHeight="1" x14ac:dyDescent="0.2">
      <c r="A83" s="7"/>
      <c r="B83" s="55"/>
      <c r="C83" s="7"/>
      <c r="D83" s="7"/>
      <c r="E83" s="7"/>
      <c r="F83" s="7"/>
      <c r="G83" s="7"/>
      <c r="H83" s="55"/>
      <c r="I83" s="97"/>
      <c r="J83" s="97"/>
      <c r="K83" s="97"/>
      <c r="L83" s="97"/>
      <c r="M83" s="7"/>
      <c r="N83" s="7"/>
      <c r="O83" s="7"/>
      <c r="P83" s="7"/>
      <c r="Q83" s="7"/>
      <c r="R83" s="7"/>
      <c r="S83" s="7"/>
      <c r="T83" s="7"/>
      <c r="U83" s="7"/>
      <c r="V83" s="7"/>
      <c r="W83" s="7"/>
    </row>
    <row r="84" spans="1:23" ht="15.75" customHeight="1" x14ac:dyDescent="0.2">
      <c r="A84" s="7"/>
      <c r="B84" s="55"/>
      <c r="C84" s="7"/>
      <c r="D84" s="7"/>
      <c r="E84" s="7"/>
      <c r="F84" s="7"/>
      <c r="G84" s="7"/>
      <c r="H84" s="55"/>
      <c r="I84" s="97"/>
      <c r="J84" s="97"/>
      <c r="K84" s="97"/>
      <c r="L84" s="97"/>
      <c r="M84" s="7"/>
      <c r="N84" s="7"/>
      <c r="O84" s="7"/>
      <c r="P84" s="7"/>
      <c r="Q84" s="7"/>
      <c r="R84" s="7"/>
      <c r="S84" s="7"/>
      <c r="T84" s="7"/>
      <c r="U84" s="7"/>
      <c r="V84" s="7"/>
      <c r="W84" s="7"/>
    </row>
    <row r="85" spans="1:23" ht="15.75" customHeight="1" x14ac:dyDescent="0.2">
      <c r="A85" s="7"/>
      <c r="B85" s="55"/>
      <c r="C85" s="7"/>
      <c r="D85" s="7"/>
      <c r="E85" s="7"/>
      <c r="F85" s="7"/>
      <c r="G85" s="7"/>
      <c r="H85" s="55"/>
      <c r="I85" s="97"/>
      <c r="J85" s="97"/>
      <c r="K85" s="97"/>
      <c r="L85" s="97"/>
      <c r="M85" s="7"/>
      <c r="N85" s="7"/>
      <c r="O85" s="7"/>
      <c r="P85" s="7"/>
      <c r="Q85" s="7"/>
      <c r="R85" s="7"/>
      <c r="S85" s="7"/>
      <c r="T85" s="7"/>
      <c r="U85" s="7"/>
      <c r="V85" s="7"/>
      <c r="W85" s="7"/>
    </row>
    <row r="86" spans="1:23" ht="15.75" customHeight="1" x14ac:dyDescent="0.2">
      <c r="A86" s="7"/>
      <c r="B86" s="55"/>
      <c r="C86" s="7"/>
      <c r="D86" s="7"/>
      <c r="E86" s="7"/>
      <c r="F86" s="7"/>
      <c r="G86" s="7"/>
      <c r="H86" s="55"/>
      <c r="I86" s="97"/>
      <c r="J86" s="97"/>
      <c r="K86" s="97"/>
      <c r="L86" s="97"/>
      <c r="M86" s="7"/>
      <c r="N86" s="7"/>
      <c r="O86" s="7"/>
      <c r="P86" s="7"/>
      <c r="Q86" s="7"/>
      <c r="R86" s="7"/>
      <c r="S86" s="7"/>
      <c r="T86" s="7"/>
      <c r="U86" s="7"/>
      <c r="V86" s="7"/>
      <c r="W86" s="7"/>
    </row>
    <row r="87" spans="1:23" ht="15.75" customHeight="1" x14ac:dyDescent="0.2">
      <c r="A87" s="7"/>
      <c r="B87" s="55"/>
      <c r="C87" s="7"/>
      <c r="D87" s="7"/>
      <c r="E87" s="7"/>
      <c r="F87" s="7"/>
      <c r="G87" s="7"/>
      <c r="H87" s="55"/>
      <c r="I87" s="97"/>
      <c r="J87" s="97"/>
      <c r="K87" s="97"/>
      <c r="L87" s="97"/>
      <c r="M87" s="7"/>
      <c r="N87" s="7"/>
      <c r="O87" s="7"/>
      <c r="P87" s="7"/>
      <c r="Q87" s="7"/>
      <c r="R87" s="7"/>
      <c r="S87" s="7"/>
      <c r="T87" s="7"/>
      <c r="U87" s="7"/>
      <c r="V87" s="7"/>
      <c r="W87" s="7"/>
    </row>
    <row r="88" spans="1:23" ht="15.75" customHeight="1" x14ac:dyDescent="0.2">
      <c r="A88" s="7"/>
      <c r="B88" s="55"/>
      <c r="C88" s="7"/>
      <c r="D88" s="7"/>
      <c r="E88" s="7"/>
      <c r="F88" s="7"/>
      <c r="G88" s="7"/>
      <c r="H88" s="55"/>
      <c r="I88" s="97"/>
      <c r="J88" s="97"/>
      <c r="K88" s="97"/>
      <c r="L88" s="97"/>
      <c r="M88" s="7"/>
      <c r="N88" s="7"/>
      <c r="O88" s="7"/>
      <c r="P88" s="7"/>
      <c r="Q88" s="7"/>
      <c r="R88" s="7"/>
      <c r="S88" s="7"/>
      <c r="T88" s="7"/>
      <c r="U88" s="7"/>
      <c r="V88" s="7"/>
      <c r="W88" s="7"/>
    </row>
    <row r="89" spans="1:23" ht="15.75" customHeight="1" x14ac:dyDescent="0.2">
      <c r="A89" s="7"/>
      <c r="B89" s="55"/>
      <c r="C89" s="7"/>
      <c r="D89" s="7"/>
      <c r="E89" s="7"/>
      <c r="F89" s="7"/>
      <c r="G89" s="7"/>
      <c r="H89" s="55"/>
      <c r="I89" s="97"/>
      <c r="J89" s="97"/>
      <c r="K89" s="97"/>
      <c r="L89" s="97"/>
      <c r="M89" s="7"/>
      <c r="N89" s="7"/>
      <c r="O89" s="7"/>
      <c r="P89" s="7"/>
      <c r="Q89" s="7"/>
      <c r="R89" s="7"/>
      <c r="S89" s="7"/>
      <c r="T89" s="7"/>
      <c r="U89" s="7"/>
      <c r="V89" s="7"/>
      <c r="W89" s="7"/>
    </row>
    <row r="90" spans="1:23" ht="15.75" customHeight="1" x14ac:dyDescent="0.2">
      <c r="A90" s="7"/>
      <c r="B90" s="55"/>
      <c r="C90" s="7"/>
      <c r="D90" s="7"/>
      <c r="E90" s="7"/>
      <c r="F90" s="7"/>
      <c r="G90" s="7"/>
      <c r="H90" s="55"/>
      <c r="I90" s="97"/>
      <c r="J90" s="97"/>
      <c r="K90" s="97"/>
      <c r="L90" s="97"/>
      <c r="M90" s="7"/>
      <c r="N90" s="7"/>
      <c r="O90" s="7"/>
      <c r="P90" s="7"/>
      <c r="Q90" s="7"/>
      <c r="R90" s="7"/>
      <c r="S90" s="7"/>
      <c r="T90" s="7"/>
      <c r="U90" s="7"/>
      <c r="V90" s="7"/>
      <c r="W90" s="7"/>
    </row>
    <row r="91" spans="1:23" ht="15.75" customHeight="1" x14ac:dyDescent="0.2">
      <c r="A91" s="7"/>
      <c r="B91" s="55"/>
      <c r="C91" s="7"/>
      <c r="D91" s="7"/>
      <c r="E91" s="7"/>
      <c r="F91" s="7"/>
      <c r="G91" s="7"/>
      <c r="H91" s="55"/>
      <c r="I91" s="97"/>
      <c r="J91" s="97"/>
      <c r="K91" s="97"/>
      <c r="L91" s="97"/>
      <c r="M91" s="7"/>
      <c r="N91" s="7"/>
      <c r="O91" s="7"/>
      <c r="P91" s="7"/>
      <c r="Q91" s="7"/>
      <c r="R91" s="7"/>
      <c r="S91" s="7"/>
      <c r="T91" s="7"/>
      <c r="U91" s="7"/>
      <c r="V91" s="7"/>
      <c r="W91" s="7"/>
    </row>
    <row r="92" spans="1:23" ht="15.75" customHeight="1" x14ac:dyDescent="0.2">
      <c r="A92" s="7"/>
      <c r="B92" s="55"/>
      <c r="C92" s="7"/>
      <c r="D92" s="7"/>
      <c r="E92" s="7"/>
      <c r="F92" s="7"/>
      <c r="G92" s="7"/>
      <c r="H92" s="55"/>
      <c r="I92" s="97"/>
      <c r="J92" s="97"/>
      <c r="K92" s="97"/>
      <c r="L92" s="97"/>
      <c r="M92" s="7"/>
      <c r="N92" s="7"/>
      <c r="O92" s="7"/>
      <c r="P92" s="7"/>
      <c r="Q92" s="7"/>
      <c r="R92" s="7"/>
      <c r="S92" s="7"/>
      <c r="T92" s="7"/>
      <c r="U92" s="7"/>
      <c r="V92" s="7"/>
      <c r="W92" s="7"/>
    </row>
    <row r="93" spans="1:23" ht="15.75" customHeight="1" x14ac:dyDescent="0.2">
      <c r="A93" s="7"/>
      <c r="B93" s="55"/>
      <c r="C93" s="7"/>
      <c r="D93" s="7"/>
      <c r="E93" s="7"/>
      <c r="F93" s="7"/>
      <c r="G93" s="7"/>
      <c r="H93" s="55"/>
      <c r="I93" s="97"/>
      <c r="J93" s="97"/>
      <c r="K93" s="97"/>
      <c r="L93" s="97"/>
      <c r="M93" s="7"/>
      <c r="N93" s="7"/>
      <c r="O93" s="7"/>
      <c r="P93" s="7"/>
      <c r="Q93" s="7"/>
      <c r="R93" s="7"/>
      <c r="S93" s="7"/>
      <c r="T93" s="7"/>
      <c r="U93" s="7"/>
      <c r="V93" s="7"/>
      <c r="W93" s="7"/>
    </row>
    <row r="94" spans="1:23" ht="15.75" customHeight="1" x14ac:dyDescent="0.2">
      <c r="A94" s="7"/>
      <c r="B94" s="55"/>
      <c r="C94" s="7"/>
      <c r="D94" s="7"/>
      <c r="E94" s="7"/>
      <c r="F94" s="7"/>
      <c r="G94" s="7"/>
      <c r="H94" s="55"/>
      <c r="I94" s="97"/>
      <c r="J94" s="97"/>
      <c r="K94" s="97"/>
      <c r="L94" s="97"/>
      <c r="M94" s="7"/>
      <c r="N94" s="7"/>
      <c r="O94" s="7"/>
      <c r="P94" s="7"/>
      <c r="Q94" s="7"/>
      <c r="R94" s="7"/>
      <c r="S94" s="7"/>
      <c r="T94" s="7"/>
      <c r="U94" s="7"/>
      <c r="V94" s="7"/>
      <c r="W94" s="7"/>
    </row>
    <row r="95" spans="1:23" ht="15.75" customHeight="1" x14ac:dyDescent="0.2">
      <c r="A95" s="7"/>
      <c r="B95" s="55"/>
      <c r="C95" s="7"/>
      <c r="D95" s="7"/>
      <c r="E95" s="7"/>
      <c r="F95" s="7"/>
      <c r="G95" s="7"/>
      <c r="H95" s="55"/>
      <c r="I95" s="97"/>
      <c r="J95" s="97"/>
      <c r="K95" s="97"/>
      <c r="L95" s="97"/>
      <c r="M95" s="7"/>
      <c r="N95" s="7"/>
      <c r="O95" s="7"/>
      <c r="P95" s="7"/>
      <c r="Q95" s="7"/>
      <c r="R95" s="7"/>
      <c r="S95" s="7"/>
      <c r="T95" s="7"/>
      <c r="U95" s="7"/>
      <c r="V95" s="7"/>
      <c r="W95" s="7"/>
    </row>
    <row r="96" spans="1:23" ht="15.75" customHeight="1" x14ac:dyDescent="0.2">
      <c r="A96" s="7"/>
      <c r="B96" s="55"/>
      <c r="C96" s="7"/>
      <c r="D96" s="7"/>
      <c r="E96" s="7"/>
      <c r="F96" s="7"/>
      <c r="G96" s="7"/>
      <c r="H96" s="55"/>
      <c r="I96" s="97"/>
      <c r="J96" s="97"/>
      <c r="K96" s="97"/>
      <c r="L96" s="97"/>
      <c r="M96" s="7"/>
      <c r="N96" s="7"/>
      <c r="O96" s="7"/>
      <c r="P96" s="7"/>
      <c r="Q96" s="7"/>
      <c r="R96" s="7"/>
      <c r="S96" s="7"/>
      <c r="T96" s="7"/>
      <c r="U96" s="7"/>
      <c r="V96" s="7"/>
      <c r="W96" s="7"/>
    </row>
    <row r="97" spans="1:23" ht="15.75" customHeight="1" x14ac:dyDescent="0.2">
      <c r="A97" s="7"/>
      <c r="B97" s="55"/>
      <c r="C97" s="7"/>
      <c r="D97" s="7"/>
      <c r="E97" s="7"/>
      <c r="F97" s="7"/>
      <c r="G97" s="7"/>
      <c r="H97" s="55"/>
      <c r="I97" s="97"/>
      <c r="J97" s="97"/>
      <c r="K97" s="97"/>
      <c r="L97" s="97"/>
      <c r="M97" s="7"/>
      <c r="N97" s="7"/>
      <c r="O97" s="7"/>
      <c r="P97" s="7"/>
      <c r="Q97" s="7"/>
      <c r="R97" s="7"/>
      <c r="S97" s="7"/>
      <c r="T97" s="7"/>
      <c r="U97" s="7"/>
      <c r="V97" s="7"/>
      <c r="W97" s="7"/>
    </row>
    <row r="98" spans="1:23" ht="15.75" customHeight="1" x14ac:dyDescent="0.2">
      <c r="A98" s="7"/>
      <c r="B98" s="55"/>
      <c r="C98" s="7"/>
      <c r="D98" s="7"/>
      <c r="E98" s="7"/>
      <c r="F98" s="7"/>
      <c r="G98" s="7"/>
      <c r="H98" s="55"/>
      <c r="I98" s="97"/>
      <c r="J98" s="97"/>
      <c r="K98" s="97"/>
      <c r="L98" s="97"/>
      <c r="M98" s="7"/>
      <c r="N98" s="7"/>
      <c r="O98" s="7"/>
      <c r="P98" s="7"/>
      <c r="Q98" s="7"/>
      <c r="R98" s="7"/>
      <c r="S98" s="7"/>
      <c r="T98" s="7"/>
      <c r="U98" s="7"/>
      <c r="V98" s="7"/>
      <c r="W98" s="7"/>
    </row>
    <row r="99" spans="1:23" ht="15.75" customHeight="1" x14ac:dyDescent="0.2">
      <c r="A99" s="7"/>
      <c r="B99" s="55"/>
      <c r="C99" s="7"/>
      <c r="D99" s="7"/>
      <c r="E99" s="7"/>
      <c r="F99" s="7"/>
      <c r="G99" s="7"/>
      <c r="H99" s="55"/>
      <c r="I99" s="97"/>
      <c r="J99" s="97"/>
      <c r="K99" s="97"/>
      <c r="L99" s="97"/>
      <c r="M99" s="7"/>
      <c r="N99" s="7"/>
      <c r="O99" s="7"/>
      <c r="P99" s="7"/>
      <c r="Q99" s="7"/>
      <c r="R99" s="7"/>
      <c r="S99" s="7"/>
      <c r="T99" s="7"/>
      <c r="U99" s="7"/>
      <c r="V99" s="7"/>
      <c r="W99" s="7"/>
    </row>
    <row r="100" spans="1:23" ht="15.75" customHeight="1" x14ac:dyDescent="0.2">
      <c r="A100" s="7"/>
      <c r="B100" s="55"/>
      <c r="C100" s="7"/>
      <c r="D100" s="7"/>
      <c r="E100" s="7"/>
      <c r="F100" s="7"/>
      <c r="G100" s="7"/>
      <c r="H100" s="55"/>
      <c r="I100" s="97"/>
      <c r="J100" s="97"/>
      <c r="K100" s="97"/>
      <c r="L100" s="97"/>
      <c r="M100" s="7"/>
      <c r="N100" s="7"/>
      <c r="O100" s="7"/>
      <c r="P100" s="7"/>
      <c r="Q100" s="7"/>
      <c r="R100" s="7"/>
      <c r="S100" s="7"/>
      <c r="T100" s="7"/>
      <c r="U100" s="7"/>
      <c r="V100" s="7"/>
      <c r="W100" s="7"/>
    </row>
    <row r="101" spans="1:23" ht="15.75" customHeight="1" x14ac:dyDescent="0.2">
      <c r="A101" s="7"/>
      <c r="B101" s="55"/>
      <c r="C101" s="7"/>
      <c r="D101" s="7"/>
      <c r="E101" s="7"/>
      <c r="F101" s="7"/>
      <c r="G101" s="7"/>
      <c r="H101" s="55"/>
      <c r="I101" s="97"/>
      <c r="J101" s="97"/>
      <c r="K101" s="97"/>
      <c r="L101" s="97"/>
      <c r="M101" s="7"/>
      <c r="N101" s="7"/>
      <c r="O101" s="7"/>
      <c r="P101" s="7"/>
      <c r="Q101" s="7"/>
      <c r="R101" s="7"/>
      <c r="S101" s="7"/>
      <c r="T101" s="7"/>
      <c r="U101" s="7"/>
      <c r="V101" s="7"/>
      <c r="W101" s="7"/>
    </row>
    <row r="102" spans="1:23" ht="15.75" customHeight="1" x14ac:dyDescent="0.2">
      <c r="A102" s="7"/>
      <c r="B102" s="55"/>
      <c r="C102" s="7"/>
      <c r="D102" s="7"/>
      <c r="E102" s="7"/>
      <c r="F102" s="7"/>
      <c r="G102" s="7"/>
      <c r="H102" s="55"/>
      <c r="I102" s="97"/>
      <c r="J102" s="97"/>
      <c r="K102" s="97"/>
      <c r="L102" s="97"/>
      <c r="M102" s="7"/>
      <c r="N102" s="7"/>
      <c r="O102" s="7"/>
      <c r="P102" s="7"/>
      <c r="Q102" s="7"/>
      <c r="R102" s="7"/>
      <c r="S102" s="7"/>
      <c r="T102" s="7"/>
      <c r="U102" s="7"/>
      <c r="V102" s="7"/>
      <c r="W102" s="7"/>
    </row>
    <row r="103" spans="1:23" ht="15.75" customHeight="1" x14ac:dyDescent="0.2">
      <c r="A103" s="7"/>
      <c r="B103" s="55"/>
      <c r="C103" s="7"/>
      <c r="D103" s="7"/>
      <c r="E103" s="7"/>
      <c r="F103" s="7"/>
      <c r="G103" s="7"/>
      <c r="H103" s="55"/>
      <c r="I103" s="97"/>
      <c r="J103" s="97"/>
      <c r="K103" s="97"/>
      <c r="L103" s="97"/>
      <c r="M103" s="7"/>
      <c r="N103" s="7"/>
      <c r="O103" s="7"/>
      <c r="P103" s="7"/>
      <c r="Q103" s="7"/>
      <c r="R103" s="7"/>
      <c r="S103" s="7"/>
      <c r="T103" s="7"/>
      <c r="U103" s="7"/>
      <c r="V103" s="7"/>
      <c r="W103" s="7"/>
    </row>
    <row r="104" spans="1:23" ht="15.75" customHeight="1" x14ac:dyDescent="0.2">
      <c r="A104" s="7"/>
      <c r="B104" s="55"/>
      <c r="C104" s="7"/>
      <c r="D104" s="7"/>
      <c r="E104" s="7"/>
      <c r="F104" s="7"/>
      <c r="G104" s="7"/>
      <c r="H104" s="55"/>
      <c r="I104" s="97"/>
      <c r="J104" s="97"/>
      <c r="K104" s="97"/>
      <c r="L104" s="97"/>
      <c r="M104" s="7"/>
      <c r="N104" s="7"/>
      <c r="O104" s="7"/>
      <c r="P104" s="7"/>
      <c r="Q104" s="7"/>
      <c r="R104" s="7"/>
      <c r="S104" s="7"/>
      <c r="T104" s="7"/>
      <c r="U104" s="7"/>
      <c r="V104" s="7"/>
      <c r="W104" s="7"/>
    </row>
    <row r="105" spans="1:23" ht="15.75" customHeight="1" x14ac:dyDescent="0.2">
      <c r="A105" s="7"/>
      <c r="B105" s="55"/>
      <c r="C105" s="7"/>
      <c r="D105" s="7"/>
      <c r="E105" s="7"/>
      <c r="F105" s="7"/>
      <c r="G105" s="7"/>
      <c r="H105" s="55"/>
      <c r="I105" s="97"/>
      <c r="J105" s="97"/>
      <c r="K105" s="97"/>
      <c r="L105" s="97"/>
      <c r="M105" s="7"/>
      <c r="N105" s="7"/>
      <c r="O105" s="7"/>
      <c r="P105" s="7"/>
      <c r="Q105" s="7"/>
      <c r="R105" s="7"/>
      <c r="S105" s="7"/>
      <c r="T105" s="7"/>
      <c r="U105" s="7"/>
      <c r="V105" s="7"/>
      <c r="W105" s="7"/>
    </row>
    <row r="106" spans="1:23" ht="15.75" customHeight="1" x14ac:dyDescent="0.2">
      <c r="A106" s="7"/>
      <c r="B106" s="55"/>
      <c r="C106" s="7"/>
      <c r="D106" s="7"/>
      <c r="E106" s="7"/>
      <c r="F106" s="7"/>
      <c r="G106" s="7"/>
      <c r="H106" s="55"/>
      <c r="I106" s="97"/>
      <c r="J106" s="97"/>
      <c r="K106" s="97"/>
      <c r="L106" s="97"/>
      <c r="M106" s="7"/>
      <c r="N106" s="7"/>
      <c r="O106" s="7"/>
      <c r="P106" s="7"/>
      <c r="Q106" s="7"/>
      <c r="R106" s="7"/>
      <c r="S106" s="7"/>
      <c r="T106" s="7"/>
      <c r="U106" s="7"/>
      <c r="V106" s="7"/>
      <c r="W106" s="7"/>
    </row>
    <row r="107" spans="1:23" ht="15.75" customHeight="1" x14ac:dyDescent="0.2">
      <c r="A107" s="7"/>
      <c r="B107" s="55"/>
      <c r="C107" s="7"/>
      <c r="D107" s="7"/>
      <c r="E107" s="7"/>
      <c r="F107" s="7"/>
      <c r="G107" s="7"/>
      <c r="H107" s="55"/>
      <c r="I107" s="97"/>
      <c r="J107" s="97"/>
      <c r="K107" s="97"/>
      <c r="L107" s="97"/>
      <c r="M107" s="7"/>
      <c r="N107" s="7"/>
      <c r="O107" s="7"/>
      <c r="P107" s="7"/>
      <c r="Q107" s="7"/>
      <c r="R107" s="7"/>
      <c r="S107" s="7"/>
      <c r="T107" s="7"/>
      <c r="U107" s="7"/>
      <c r="V107" s="7"/>
      <c r="W107" s="7"/>
    </row>
    <row r="108" spans="1:23" ht="15.75" customHeight="1" x14ac:dyDescent="0.2">
      <c r="A108" s="7"/>
      <c r="B108" s="55"/>
      <c r="C108" s="7"/>
      <c r="D108" s="7"/>
      <c r="E108" s="7"/>
      <c r="F108" s="7"/>
      <c r="G108" s="7"/>
      <c r="H108" s="55"/>
      <c r="I108" s="97"/>
      <c r="J108" s="97"/>
      <c r="K108" s="97"/>
      <c r="L108" s="97"/>
      <c r="M108" s="7"/>
      <c r="N108" s="7"/>
      <c r="O108" s="7"/>
      <c r="P108" s="7"/>
      <c r="Q108" s="7"/>
      <c r="R108" s="7"/>
      <c r="S108" s="7"/>
      <c r="T108" s="7"/>
      <c r="U108" s="7"/>
      <c r="V108" s="7"/>
      <c r="W108" s="7"/>
    </row>
    <row r="109" spans="1:23" ht="15.75" customHeight="1" x14ac:dyDescent="0.2">
      <c r="A109" s="7"/>
      <c r="B109" s="55"/>
      <c r="C109" s="7"/>
      <c r="D109" s="7"/>
      <c r="E109" s="7"/>
      <c r="F109" s="7"/>
      <c r="G109" s="7"/>
      <c r="H109" s="55"/>
      <c r="I109" s="97"/>
      <c r="J109" s="97"/>
      <c r="K109" s="97"/>
      <c r="L109" s="97"/>
      <c r="M109" s="7"/>
      <c r="N109" s="7"/>
      <c r="O109" s="7"/>
      <c r="P109" s="7"/>
      <c r="Q109" s="7"/>
      <c r="R109" s="7"/>
      <c r="S109" s="7"/>
      <c r="T109" s="7"/>
      <c r="U109" s="7"/>
      <c r="V109" s="7"/>
      <c r="W109" s="7"/>
    </row>
    <row r="110" spans="1:23" ht="15.75" customHeight="1" x14ac:dyDescent="0.2">
      <c r="A110" s="7"/>
      <c r="B110" s="55"/>
      <c r="C110" s="7"/>
      <c r="D110" s="7"/>
      <c r="E110" s="7"/>
      <c r="F110" s="7"/>
      <c r="G110" s="7"/>
      <c r="H110" s="55"/>
      <c r="I110" s="97"/>
      <c r="J110" s="97"/>
      <c r="K110" s="97"/>
      <c r="L110" s="97"/>
      <c r="M110" s="7"/>
      <c r="N110" s="7"/>
      <c r="O110" s="7"/>
      <c r="P110" s="7"/>
      <c r="Q110" s="7"/>
      <c r="R110" s="7"/>
      <c r="S110" s="7"/>
      <c r="T110" s="7"/>
      <c r="U110" s="7"/>
      <c r="V110" s="7"/>
      <c r="W110" s="7"/>
    </row>
    <row r="111" spans="1:23" ht="15.75" customHeight="1" x14ac:dyDescent="0.2">
      <c r="A111" s="7"/>
      <c r="B111" s="55"/>
      <c r="C111" s="7"/>
      <c r="D111" s="7"/>
      <c r="E111" s="7"/>
      <c r="F111" s="7"/>
      <c r="G111" s="7"/>
      <c r="H111" s="55"/>
      <c r="I111" s="97"/>
      <c r="J111" s="97"/>
      <c r="K111" s="97"/>
      <c r="L111" s="97"/>
      <c r="M111" s="7"/>
      <c r="N111" s="7"/>
      <c r="O111" s="7"/>
      <c r="P111" s="7"/>
      <c r="Q111" s="7"/>
      <c r="R111" s="7"/>
      <c r="S111" s="7"/>
      <c r="T111" s="7"/>
      <c r="U111" s="7"/>
      <c r="V111" s="7"/>
      <c r="W111" s="7"/>
    </row>
    <row r="112" spans="1:23" ht="15.75" customHeight="1" x14ac:dyDescent="0.2">
      <c r="A112" s="7"/>
      <c r="B112" s="55"/>
      <c r="C112" s="7"/>
      <c r="D112" s="7"/>
      <c r="E112" s="7"/>
      <c r="F112" s="7"/>
      <c r="G112" s="7"/>
      <c r="H112" s="55"/>
      <c r="I112" s="97"/>
      <c r="J112" s="97"/>
      <c r="K112" s="97"/>
      <c r="L112" s="97"/>
      <c r="M112" s="7"/>
      <c r="N112" s="7"/>
      <c r="O112" s="7"/>
      <c r="P112" s="7"/>
      <c r="Q112" s="7"/>
      <c r="R112" s="7"/>
      <c r="S112" s="7"/>
      <c r="T112" s="7"/>
      <c r="U112" s="7"/>
      <c r="V112" s="7"/>
      <c r="W112" s="7"/>
    </row>
    <row r="113" spans="1:23" ht="15.75" customHeight="1" x14ac:dyDescent="0.2">
      <c r="A113" s="7"/>
      <c r="B113" s="55"/>
      <c r="C113" s="7"/>
      <c r="D113" s="7"/>
      <c r="E113" s="7"/>
      <c r="F113" s="7"/>
      <c r="G113" s="7"/>
      <c r="H113" s="55"/>
      <c r="I113" s="97"/>
      <c r="J113" s="97"/>
      <c r="K113" s="97"/>
      <c r="L113" s="97"/>
      <c r="M113" s="7"/>
      <c r="N113" s="7"/>
      <c r="O113" s="7"/>
      <c r="P113" s="7"/>
      <c r="Q113" s="7"/>
      <c r="R113" s="7"/>
      <c r="S113" s="7"/>
      <c r="T113" s="7"/>
      <c r="U113" s="7"/>
      <c r="V113" s="7"/>
      <c r="W113" s="7"/>
    </row>
    <row r="114" spans="1:23" ht="15.75" customHeight="1" x14ac:dyDescent="0.2">
      <c r="A114" s="7"/>
      <c r="B114" s="55"/>
      <c r="C114" s="7"/>
      <c r="D114" s="7"/>
      <c r="E114" s="7"/>
      <c r="F114" s="7"/>
      <c r="G114" s="7"/>
      <c r="H114" s="55"/>
      <c r="I114" s="97"/>
      <c r="J114" s="97"/>
      <c r="K114" s="97"/>
      <c r="L114" s="97"/>
      <c r="M114" s="7"/>
      <c r="N114" s="7"/>
      <c r="O114" s="7"/>
      <c r="P114" s="7"/>
      <c r="Q114" s="7"/>
      <c r="R114" s="7"/>
      <c r="S114" s="7"/>
      <c r="T114" s="7"/>
      <c r="U114" s="7"/>
      <c r="V114" s="7"/>
      <c r="W114" s="7"/>
    </row>
    <row r="115" spans="1:23" ht="15.75" customHeight="1" x14ac:dyDescent="0.2">
      <c r="A115" s="7"/>
      <c r="B115" s="55"/>
      <c r="C115" s="7"/>
      <c r="D115" s="7"/>
      <c r="E115" s="7"/>
      <c r="F115" s="7"/>
      <c r="G115" s="7"/>
      <c r="H115" s="55"/>
      <c r="I115" s="97"/>
      <c r="J115" s="97"/>
      <c r="K115" s="97"/>
      <c r="L115" s="97"/>
      <c r="M115" s="7"/>
      <c r="N115" s="7"/>
      <c r="O115" s="7"/>
      <c r="P115" s="7"/>
      <c r="Q115" s="7"/>
      <c r="R115" s="7"/>
      <c r="S115" s="7"/>
      <c r="T115" s="7"/>
      <c r="U115" s="7"/>
      <c r="V115" s="7"/>
      <c r="W115" s="7"/>
    </row>
    <row r="116" spans="1:23" ht="15.75" customHeight="1" x14ac:dyDescent="0.2">
      <c r="A116" s="7"/>
      <c r="B116" s="55"/>
      <c r="C116" s="7"/>
      <c r="D116" s="7"/>
      <c r="E116" s="7"/>
      <c r="F116" s="7"/>
      <c r="G116" s="7"/>
      <c r="H116" s="55"/>
      <c r="I116" s="97"/>
      <c r="J116" s="97"/>
      <c r="K116" s="97"/>
      <c r="L116" s="97"/>
      <c r="M116" s="7"/>
      <c r="N116" s="7"/>
      <c r="O116" s="7"/>
      <c r="P116" s="7"/>
      <c r="Q116" s="7"/>
      <c r="R116" s="7"/>
      <c r="S116" s="7"/>
      <c r="T116" s="7"/>
      <c r="U116" s="7"/>
      <c r="V116" s="7"/>
      <c r="W116" s="7"/>
    </row>
    <row r="117" spans="1:23" ht="15.75" customHeight="1" x14ac:dyDescent="0.2">
      <c r="A117" s="7"/>
      <c r="B117" s="55"/>
      <c r="C117" s="7"/>
      <c r="D117" s="7"/>
      <c r="E117" s="7"/>
      <c r="F117" s="7"/>
      <c r="G117" s="7"/>
      <c r="H117" s="55"/>
      <c r="I117" s="97"/>
      <c r="J117" s="97"/>
      <c r="K117" s="97"/>
      <c r="L117" s="97"/>
      <c r="M117" s="7"/>
      <c r="N117" s="7"/>
      <c r="O117" s="7"/>
      <c r="P117" s="7"/>
      <c r="Q117" s="7"/>
      <c r="R117" s="7"/>
      <c r="S117" s="7"/>
      <c r="T117" s="7"/>
      <c r="U117" s="7"/>
      <c r="V117" s="7"/>
      <c r="W117" s="7"/>
    </row>
    <row r="118" spans="1:23" ht="15.75" customHeight="1" x14ac:dyDescent="0.2">
      <c r="A118" s="7"/>
      <c r="B118" s="55"/>
      <c r="C118" s="7"/>
      <c r="D118" s="7"/>
      <c r="E118" s="7"/>
      <c r="F118" s="7"/>
      <c r="G118" s="7"/>
      <c r="H118" s="55"/>
      <c r="I118" s="97"/>
      <c r="J118" s="97"/>
      <c r="K118" s="97"/>
      <c r="L118" s="97"/>
      <c r="M118" s="7"/>
      <c r="N118" s="7"/>
      <c r="O118" s="7"/>
      <c r="P118" s="7"/>
      <c r="Q118" s="7"/>
      <c r="R118" s="7"/>
      <c r="S118" s="7"/>
      <c r="T118" s="7"/>
      <c r="U118" s="7"/>
      <c r="V118" s="7"/>
      <c r="W118" s="7"/>
    </row>
    <row r="119" spans="1:23" ht="15.75" customHeight="1" x14ac:dyDescent="0.2">
      <c r="A119" s="7"/>
      <c r="B119" s="55"/>
      <c r="C119" s="7"/>
      <c r="D119" s="7"/>
      <c r="E119" s="7"/>
      <c r="F119" s="7"/>
      <c r="G119" s="7"/>
      <c r="H119" s="55"/>
      <c r="I119" s="97"/>
      <c r="J119" s="97"/>
      <c r="K119" s="97"/>
      <c r="L119" s="97"/>
      <c r="M119" s="7"/>
      <c r="N119" s="7"/>
      <c r="O119" s="7"/>
      <c r="P119" s="7"/>
      <c r="Q119" s="7"/>
      <c r="R119" s="7"/>
      <c r="S119" s="7"/>
      <c r="T119" s="7"/>
      <c r="U119" s="7"/>
      <c r="V119" s="7"/>
      <c r="W119" s="7"/>
    </row>
    <row r="120" spans="1:23" ht="15.75" customHeight="1" x14ac:dyDescent="0.2">
      <c r="A120" s="7"/>
      <c r="B120" s="55"/>
      <c r="C120" s="7"/>
      <c r="D120" s="7"/>
      <c r="E120" s="7"/>
      <c r="F120" s="7"/>
      <c r="G120" s="7"/>
      <c r="H120" s="55"/>
      <c r="I120" s="97"/>
      <c r="J120" s="97"/>
      <c r="K120" s="97"/>
      <c r="L120" s="97"/>
      <c r="M120" s="7"/>
      <c r="N120" s="7"/>
      <c r="O120" s="7"/>
      <c r="P120" s="7"/>
      <c r="Q120" s="7"/>
      <c r="R120" s="7"/>
      <c r="S120" s="7"/>
      <c r="T120" s="7"/>
      <c r="U120" s="7"/>
      <c r="V120" s="7"/>
      <c r="W120" s="7"/>
    </row>
    <row r="121" spans="1:23" ht="15.75" customHeight="1" x14ac:dyDescent="0.2">
      <c r="A121" s="7"/>
      <c r="B121" s="55"/>
      <c r="C121" s="7"/>
      <c r="D121" s="7"/>
      <c r="E121" s="7"/>
      <c r="F121" s="7"/>
      <c r="G121" s="7"/>
      <c r="H121" s="55"/>
      <c r="I121" s="97"/>
      <c r="J121" s="97"/>
      <c r="K121" s="97"/>
      <c r="L121" s="97"/>
      <c r="M121" s="7"/>
      <c r="N121" s="7"/>
      <c r="O121" s="7"/>
      <c r="P121" s="7"/>
      <c r="Q121" s="7"/>
      <c r="R121" s="7"/>
      <c r="S121" s="7"/>
      <c r="T121" s="7"/>
      <c r="U121" s="7"/>
      <c r="V121" s="7"/>
      <c r="W121" s="7"/>
    </row>
    <row r="122" spans="1:23" ht="15.75" customHeight="1" x14ac:dyDescent="0.2">
      <c r="A122" s="7"/>
      <c r="B122" s="55"/>
      <c r="C122" s="7"/>
      <c r="D122" s="7"/>
      <c r="E122" s="7"/>
      <c r="F122" s="7"/>
      <c r="G122" s="7"/>
      <c r="H122" s="55"/>
      <c r="I122" s="97"/>
      <c r="J122" s="97"/>
      <c r="K122" s="97"/>
      <c r="L122" s="97"/>
      <c r="M122" s="7"/>
      <c r="N122" s="7"/>
      <c r="O122" s="7"/>
      <c r="P122" s="7"/>
      <c r="Q122" s="7"/>
      <c r="R122" s="7"/>
      <c r="S122" s="7"/>
      <c r="T122" s="7"/>
      <c r="U122" s="7"/>
      <c r="V122" s="7"/>
      <c r="W122" s="7"/>
    </row>
    <row r="123" spans="1:23" ht="15.75" customHeight="1" x14ac:dyDescent="0.2">
      <c r="A123" s="7"/>
      <c r="B123" s="55"/>
      <c r="C123" s="7"/>
      <c r="D123" s="7"/>
      <c r="E123" s="7"/>
      <c r="F123" s="7"/>
      <c r="G123" s="7"/>
      <c r="H123" s="55"/>
      <c r="I123" s="97"/>
      <c r="J123" s="97"/>
      <c r="K123" s="97"/>
      <c r="L123" s="97"/>
      <c r="M123" s="7"/>
      <c r="N123" s="7"/>
      <c r="O123" s="7"/>
      <c r="P123" s="7"/>
      <c r="Q123" s="7"/>
      <c r="R123" s="7"/>
      <c r="S123" s="7"/>
      <c r="T123" s="7"/>
      <c r="U123" s="7"/>
      <c r="V123" s="7"/>
      <c r="W123" s="7"/>
    </row>
    <row r="124" spans="1:23" ht="15.75" customHeight="1" x14ac:dyDescent="0.2">
      <c r="A124" s="7"/>
      <c r="B124" s="55"/>
      <c r="C124" s="7"/>
      <c r="D124" s="7"/>
      <c r="E124" s="7"/>
      <c r="F124" s="7"/>
      <c r="G124" s="7"/>
      <c r="H124" s="55"/>
      <c r="I124" s="97"/>
      <c r="J124" s="97"/>
      <c r="K124" s="97"/>
      <c r="L124" s="97"/>
      <c r="M124" s="7"/>
      <c r="N124" s="7"/>
      <c r="O124" s="7"/>
      <c r="P124" s="7"/>
      <c r="Q124" s="7"/>
      <c r="R124" s="7"/>
      <c r="S124" s="7"/>
      <c r="T124" s="7"/>
      <c r="U124" s="7"/>
      <c r="V124" s="7"/>
      <c r="W124" s="7"/>
    </row>
    <row r="125" spans="1:23" ht="15.75" customHeight="1" x14ac:dyDescent="0.2">
      <c r="A125" s="7"/>
      <c r="B125" s="55"/>
      <c r="C125" s="7"/>
      <c r="D125" s="7"/>
      <c r="E125" s="7"/>
      <c r="F125" s="7"/>
      <c r="G125" s="7"/>
      <c r="H125" s="55"/>
      <c r="I125" s="97"/>
      <c r="J125" s="97"/>
      <c r="K125" s="97"/>
      <c r="L125" s="97"/>
      <c r="M125" s="7"/>
      <c r="N125" s="7"/>
      <c r="O125" s="7"/>
      <c r="P125" s="7"/>
      <c r="Q125" s="7"/>
      <c r="R125" s="7"/>
      <c r="S125" s="7"/>
      <c r="T125" s="7"/>
      <c r="U125" s="7"/>
      <c r="V125" s="7"/>
      <c r="W125" s="7"/>
    </row>
    <row r="126" spans="1:23" ht="15.75" customHeight="1" x14ac:dyDescent="0.2">
      <c r="A126" s="7"/>
      <c r="B126" s="55"/>
      <c r="C126" s="7"/>
      <c r="D126" s="7"/>
      <c r="E126" s="7"/>
      <c r="F126" s="7"/>
      <c r="G126" s="7"/>
      <c r="H126" s="55"/>
      <c r="I126" s="97"/>
      <c r="J126" s="97"/>
      <c r="K126" s="97"/>
      <c r="L126" s="97"/>
      <c r="M126" s="7"/>
      <c r="N126" s="7"/>
      <c r="O126" s="7"/>
      <c r="P126" s="7"/>
      <c r="Q126" s="7"/>
      <c r="R126" s="7"/>
      <c r="S126" s="7"/>
      <c r="T126" s="7"/>
      <c r="U126" s="7"/>
      <c r="V126" s="7"/>
      <c r="W126" s="7"/>
    </row>
    <row r="127" spans="1:23" ht="15.75" customHeight="1" x14ac:dyDescent="0.2">
      <c r="A127" s="7"/>
      <c r="B127" s="55"/>
      <c r="C127" s="7"/>
      <c r="D127" s="7"/>
      <c r="E127" s="7"/>
      <c r="F127" s="7"/>
      <c r="G127" s="7"/>
      <c r="H127" s="55"/>
      <c r="I127" s="97"/>
      <c r="J127" s="97"/>
      <c r="K127" s="97"/>
      <c r="L127" s="97"/>
      <c r="M127" s="7"/>
      <c r="N127" s="7"/>
      <c r="O127" s="7"/>
      <c r="P127" s="7"/>
      <c r="Q127" s="7"/>
      <c r="R127" s="7"/>
      <c r="S127" s="7"/>
      <c r="T127" s="7"/>
      <c r="U127" s="7"/>
      <c r="V127" s="7"/>
      <c r="W127" s="7"/>
    </row>
    <row r="128" spans="1:23" ht="15.75" customHeight="1" x14ac:dyDescent="0.2">
      <c r="A128" s="7"/>
      <c r="B128" s="55"/>
      <c r="C128" s="7"/>
      <c r="D128" s="7"/>
      <c r="E128" s="7"/>
      <c r="F128" s="7"/>
      <c r="G128" s="7"/>
      <c r="H128" s="55"/>
      <c r="I128" s="97"/>
      <c r="J128" s="97"/>
      <c r="K128" s="97"/>
      <c r="L128" s="97"/>
      <c r="M128" s="7"/>
      <c r="N128" s="7"/>
      <c r="O128" s="7"/>
      <c r="P128" s="7"/>
      <c r="Q128" s="7"/>
      <c r="R128" s="7"/>
      <c r="S128" s="7"/>
      <c r="T128" s="7"/>
      <c r="U128" s="7"/>
      <c r="V128" s="7"/>
      <c r="W128" s="7"/>
    </row>
    <row r="129" spans="1:23" ht="15.75" customHeight="1" x14ac:dyDescent="0.2">
      <c r="A129" s="7"/>
      <c r="B129" s="55"/>
      <c r="C129" s="7"/>
      <c r="D129" s="7"/>
      <c r="E129" s="7"/>
      <c r="F129" s="7"/>
      <c r="G129" s="7"/>
      <c r="H129" s="55"/>
      <c r="I129" s="97"/>
      <c r="J129" s="97"/>
      <c r="K129" s="97"/>
      <c r="L129" s="97"/>
      <c r="M129" s="7"/>
      <c r="N129" s="7"/>
      <c r="O129" s="7"/>
      <c r="P129" s="7"/>
      <c r="Q129" s="7"/>
      <c r="R129" s="7"/>
      <c r="S129" s="7"/>
      <c r="T129" s="7"/>
      <c r="U129" s="7"/>
      <c r="V129" s="7"/>
      <c r="W129" s="7"/>
    </row>
    <row r="130" spans="1:23" ht="15.75" customHeight="1" x14ac:dyDescent="0.2">
      <c r="A130" s="7"/>
      <c r="B130" s="55"/>
      <c r="C130" s="7"/>
      <c r="D130" s="7"/>
      <c r="E130" s="7"/>
      <c r="F130" s="7"/>
      <c r="G130" s="7"/>
      <c r="H130" s="55"/>
      <c r="I130" s="97"/>
      <c r="J130" s="97"/>
      <c r="K130" s="97"/>
      <c r="L130" s="97"/>
      <c r="M130" s="7"/>
      <c r="N130" s="7"/>
      <c r="O130" s="7"/>
      <c r="P130" s="7"/>
      <c r="Q130" s="7"/>
      <c r="R130" s="7"/>
      <c r="S130" s="7"/>
      <c r="T130" s="7"/>
      <c r="U130" s="7"/>
      <c r="V130" s="7"/>
      <c r="W130" s="7"/>
    </row>
    <row r="131" spans="1:23" ht="15.75" customHeight="1" x14ac:dyDescent="0.2">
      <c r="A131" s="7"/>
      <c r="B131" s="55"/>
      <c r="C131" s="7"/>
      <c r="D131" s="7"/>
      <c r="E131" s="7"/>
      <c r="F131" s="7"/>
      <c r="G131" s="7"/>
      <c r="H131" s="55"/>
      <c r="I131" s="97"/>
      <c r="J131" s="97"/>
      <c r="K131" s="97"/>
      <c r="L131" s="97"/>
      <c r="M131" s="7"/>
      <c r="N131" s="7"/>
      <c r="O131" s="7"/>
      <c r="P131" s="7"/>
      <c r="Q131" s="7"/>
      <c r="R131" s="7"/>
      <c r="S131" s="7"/>
      <c r="T131" s="7"/>
      <c r="U131" s="7"/>
      <c r="V131" s="7"/>
      <c r="W131" s="7"/>
    </row>
    <row r="132" spans="1:23" ht="15.75" customHeight="1" x14ac:dyDescent="0.2">
      <c r="A132" s="7"/>
      <c r="B132" s="55"/>
      <c r="C132" s="7"/>
      <c r="D132" s="7"/>
      <c r="E132" s="7"/>
      <c r="F132" s="7"/>
      <c r="G132" s="7"/>
      <c r="H132" s="55"/>
      <c r="I132" s="97"/>
      <c r="J132" s="97"/>
      <c r="K132" s="97"/>
      <c r="L132" s="97"/>
      <c r="M132" s="7"/>
      <c r="N132" s="7"/>
      <c r="O132" s="7"/>
      <c r="P132" s="7"/>
      <c r="Q132" s="7"/>
      <c r="R132" s="7"/>
      <c r="S132" s="7"/>
      <c r="T132" s="7"/>
      <c r="U132" s="7"/>
      <c r="V132" s="7"/>
      <c r="W132" s="7"/>
    </row>
    <row r="133" spans="1:23" ht="15.75" customHeight="1" x14ac:dyDescent="0.2">
      <c r="A133" s="7"/>
      <c r="B133" s="55"/>
      <c r="C133" s="7"/>
      <c r="D133" s="7"/>
      <c r="E133" s="7"/>
      <c r="F133" s="7"/>
      <c r="G133" s="7"/>
      <c r="H133" s="55"/>
      <c r="I133" s="97"/>
      <c r="J133" s="97"/>
      <c r="K133" s="97"/>
      <c r="L133" s="97"/>
      <c r="M133" s="7"/>
      <c r="N133" s="7"/>
      <c r="O133" s="7"/>
      <c r="P133" s="7"/>
      <c r="Q133" s="7"/>
      <c r="R133" s="7"/>
      <c r="S133" s="7"/>
      <c r="T133" s="7"/>
      <c r="U133" s="7"/>
      <c r="V133" s="7"/>
      <c r="W133" s="7"/>
    </row>
    <row r="134" spans="1:23" ht="15.75" customHeight="1" x14ac:dyDescent="0.2">
      <c r="A134" s="7"/>
      <c r="B134" s="55"/>
      <c r="C134" s="7"/>
      <c r="D134" s="7"/>
      <c r="E134" s="7"/>
      <c r="F134" s="7"/>
      <c r="G134" s="7"/>
      <c r="H134" s="55"/>
      <c r="I134" s="97"/>
      <c r="J134" s="97"/>
      <c r="K134" s="97"/>
      <c r="L134" s="97"/>
      <c r="M134" s="7"/>
      <c r="N134" s="7"/>
      <c r="O134" s="7"/>
      <c r="P134" s="7"/>
      <c r="Q134" s="7"/>
      <c r="R134" s="7"/>
      <c r="S134" s="7"/>
      <c r="T134" s="7"/>
      <c r="U134" s="7"/>
      <c r="V134" s="7"/>
      <c r="W134" s="7"/>
    </row>
    <row r="135" spans="1:23" ht="15.75" customHeight="1" x14ac:dyDescent="0.2">
      <c r="A135" s="7"/>
      <c r="B135" s="55"/>
      <c r="C135" s="7"/>
      <c r="D135" s="7"/>
      <c r="E135" s="7"/>
      <c r="F135" s="7"/>
      <c r="G135" s="7"/>
      <c r="H135" s="55"/>
      <c r="I135" s="97"/>
      <c r="J135" s="97"/>
      <c r="K135" s="97"/>
      <c r="L135" s="97"/>
      <c r="M135" s="7"/>
      <c r="N135" s="7"/>
      <c r="O135" s="7"/>
      <c r="P135" s="7"/>
      <c r="Q135" s="7"/>
      <c r="R135" s="7"/>
      <c r="S135" s="7"/>
      <c r="T135" s="7"/>
      <c r="U135" s="7"/>
      <c r="V135" s="7"/>
      <c r="W135" s="7"/>
    </row>
    <row r="136" spans="1:23" ht="15.75" customHeight="1" x14ac:dyDescent="0.2">
      <c r="A136" s="7"/>
      <c r="B136" s="55"/>
      <c r="C136" s="7"/>
      <c r="D136" s="7"/>
      <c r="E136" s="7"/>
      <c r="F136" s="7"/>
      <c r="G136" s="7"/>
      <c r="H136" s="55"/>
      <c r="I136" s="97"/>
      <c r="J136" s="97"/>
      <c r="K136" s="97"/>
      <c r="L136" s="97"/>
      <c r="M136" s="7"/>
      <c r="N136" s="7"/>
      <c r="O136" s="7"/>
      <c r="P136" s="7"/>
      <c r="Q136" s="7"/>
      <c r="R136" s="7"/>
      <c r="S136" s="7"/>
      <c r="T136" s="7"/>
      <c r="U136" s="7"/>
      <c r="V136" s="7"/>
      <c r="W136" s="7"/>
    </row>
    <row r="137" spans="1:23" ht="15.75" customHeight="1" x14ac:dyDescent="0.2">
      <c r="A137" s="7"/>
      <c r="B137" s="55"/>
      <c r="C137" s="7"/>
      <c r="D137" s="7"/>
      <c r="E137" s="7"/>
      <c r="F137" s="7"/>
      <c r="G137" s="7"/>
      <c r="H137" s="55"/>
      <c r="I137" s="97"/>
      <c r="J137" s="97"/>
      <c r="K137" s="97"/>
      <c r="L137" s="97"/>
      <c r="M137" s="7"/>
      <c r="N137" s="7"/>
      <c r="O137" s="7"/>
      <c r="P137" s="7"/>
      <c r="Q137" s="7"/>
      <c r="R137" s="7"/>
      <c r="S137" s="7"/>
      <c r="T137" s="7"/>
      <c r="U137" s="7"/>
      <c r="V137" s="7"/>
      <c r="W137" s="7"/>
    </row>
    <row r="138" spans="1:23" ht="15.75" customHeight="1" x14ac:dyDescent="0.2">
      <c r="A138" s="7"/>
      <c r="B138" s="55"/>
      <c r="C138" s="7"/>
      <c r="D138" s="7"/>
      <c r="E138" s="7"/>
      <c r="F138" s="7"/>
      <c r="G138" s="7"/>
      <c r="H138" s="55"/>
      <c r="I138" s="97"/>
      <c r="J138" s="97"/>
      <c r="K138" s="97"/>
      <c r="L138" s="97"/>
      <c r="M138" s="7"/>
      <c r="N138" s="7"/>
      <c r="O138" s="7"/>
      <c r="P138" s="7"/>
      <c r="Q138" s="7"/>
      <c r="R138" s="7"/>
      <c r="S138" s="7"/>
      <c r="T138" s="7"/>
      <c r="U138" s="7"/>
      <c r="V138" s="7"/>
      <c r="W138" s="7"/>
    </row>
    <row r="139" spans="1:23" ht="15.75" customHeight="1" x14ac:dyDescent="0.2">
      <c r="A139" s="7"/>
      <c r="B139" s="55"/>
      <c r="C139" s="7"/>
      <c r="D139" s="7"/>
      <c r="E139" s="7"/>
      <c r="F139" s="7"/>
      <c r="G139" s="7"/>
      <c r="H139" s="55"/>
      <c r="I139" s="97"/>
      <c r="J139" s="97"/>
      <c r="K139" s="97"/>
      <c r="L139" s="97"/>
      <c r="M139" s="7"/>
      <c r="N139" s="7"/>
      <c r="O139" s="7"/>
      <c r="P139" s="7"/>
      <c r="Q139" s="7"/>
      <c r="R139" s="7"/>
      <c r="S139" s="7"/>
      <c r="T139" s="7"/>
      <c r="U139" s="7"/>
      <c r="V139" s="7"/>
      <c r="W139" s="7"/>
    </row>
    <row r="140" spans="1:23" ht="15.75" customHeight="1" x14ac:dyDescent="0.2">
      <c r="A140" s="7"/>
      <c r="B140" s="55"/>
      <c r="C140" s="7"/>
      <c r="D140" s="7"/>
      <c r="E140" s="7"/>
      <c r="F140" s="7"/>
      <c r="G140" s="7"/>
      <c r="H140" s="55"/>
      <c r="I140" s="97"/>
      <c r="J140" s="97"/>
      <c r="K140" s="97"/>
      <c r="L140" s="97"/>
      <c r="M140" s="7"/>
      <c r="N140" s="7"/>
      <c r="O140" s="7"/>
      <c r="P140" s="7"/>
      <c r="Q140" s="7"/>
      <c r="R140" s="7"/>
      <c r="S140" s="7"/>
      <c r="T140" s="7"/>
      <c r="U140" s="7"/>
      <c r="V140" s="7"/>
      <c r="W140" s="7"/>
    </row>
    <row r="141" spans="1:23" ht="15.75" customHeight="1" x14ac:dyDescent="0.2">
      <c r="A141" s="7"/>
      <c r="B141" s="55"/>
      <c r="C141" s="7"/>
      <c r="D141" s="7"/>
      <c r="E141" s="7"/>
      <c r="F141" s="7"/>
      <c r="G141" s="7"/>
      <c r="H141" s="55"/>
      <c r="I141" s="97"/>
      <c r="J141" s="97"/>
      <c r="K141" s="97"/>
      <c r="L141" s="97"/>
      <c r="M141" s="7"/>
      <c r="N141" s="7"/>
      <c r="O141" s="7"/>
      <c r="P141" s="7"/>
      <c r="Q141" s="7"/>
      <c r="R141" s="7"/>
      <c r="S141" s="7"/>
      <c r="T141" s="7"/>
      <c r="U141" s="7"/>
      <c r="V141" s="7"/>
      <c r="W141" s="7"/>
    </row>
    <row r="142" spans="1:23" ht="15.75" customHeight="1" x14ac:dyDescent="0.2">
      <c r="A142" s="7"/>
      <c r="B142" s="55"/>
      <c r="C142" s="7"/>
      <c r="D142" s="7"/>
      <c r="E142" s="7"/>
      <c r="F142" s="7"/>
      <c r="G142" s="7"/>
      <c r="H142" s="55"/>
      <c r="I142" s="97"/>
      <c r="J142" s="97"/>
      <c r="K142" s="97"/>
      <c r="L142" s="97"/>
      <c r="M142" s="7"/>
      <c r="N142" s="7"/>
      <c r="O142" s="7"/>
      <c r="P142" s="7"/>
      <c r="Q142" s="7"/>
      <c r="R142" s="7"/>
      <c r="S142" s="7"/>
      <c r="T142" s="7"/>
      <c r="U142" s="7"/>
      <c r="V142" s="7"/>
      <c r="W142" s="7"/>
    </row>
    <row r="143" spans="1:23" ht="15.75" customHeight="1" x14ac:dyDescent="0.2">
      <c r="A143" s="7"/>
      <c r="B143" s="55"/>
      <c r="C143" s="7"/>
      <c r="D143" s="7"/>
      <c r="E143" s="7"/>
      <c r="F143" s="7"/>
      <c r="G143" s="7"/>
      <c r="H143" s="55"/>
      <c r="I143" s="97"/>
      <c r="J143" s="97"/>
      <c r="K143" s="97"/>
      <c r="L143" s="97"/>
      <c r="M143" s="7"/>
      <c r="N143" s="7"/>
      <c r="O143" s="7"/>
      <c r="P143" s="7"/>
      <c r="Q143" s="7"/>
      <c r="R143" s="7"/>
      <c r="S143" s="7"/>
      <c r="T143" s="7"/>
      <c r="U143" s="7"/>
      <c r="V143" s="7"/>
      <c r="W143" s="7"/>
    </row>
    <row r="144" spans="1:23" ht="15.75" customHeight="1" x14ac:dyDescent="0.2">
      <c r="A144" s="7"/>
      <c r="B144" s="55"/>
      <c r="C144" s="7"/>
      <c r="D144" s="7"/>
      <c r="E144" s="7"/>
      <c r="F144" s="7"/>
      <c r="G144" s="7"/>
      <c r="H144" s="55"/>
      <c r="I144" s="97"/>
      <c r="J144" s="97"/>
      <c r="K144" s="97"/>
      <c r="L144" s="97"/>
      <c r="M144" s="7"/>
      <c r="N144" s="7"/>
      <c r="O144" s="7"/>
      <c r="P144" s="7"/>
      <c r="Q144" s="7"/>
      <c r="R144" s="7"/>
      <c r="S144" s="7"/>
      <c r="T144" s="7"/>
      <c r="U144" s="7"/>
      <c r="V144" s="7"/>
      <c r="W144" s="7"/>
    </row>
    <row r="145" spans="1:23" ht="15.75" customHeight="1" x14ac:dyDescent="0.2">
      <c r="A145" s="7"/>
      <c r="B145" s="55"/>
      <c r="C145" s="7"/>
      <c r="D145" s="7"/>
      <c r="E145" s="7"/>
      <c r="F145" s="7"/>
      <c r="G145" s="7"/>
      <c r="H145" s="55"/>
      <c r="I145" s="97"/>
      <c r="J145" s="97"/>
      <c r="K145" s="97"/>
      <c r="L145" s="97"/>
      <c r="M145" s="7"/>
      <c r="N145" s="7"/>
      <c r="O145" s="7"/>
      <c r="P145" s="7"/>
      <c r="Q145" s="7"/>
      <c r="R145" s="7"/>
      <c r="S145" s="7"/>
      <c r="T145" s="7"/>
      <c r="U145" s="7"/>
      <c r="V145" s="7"/>
      <c r="W145" s="7"/>
    </row>
    <row r="146" spans="1:23" ht="15.75" customHeight="1" x14ac:dyDescent="0.2">
      <c r="A146" s="7"/>
      <c r="B146" s="55"/>
      <c r="C146" s="7"/>
      <c r="D146" s="7"/>
      <c r="E146" s="7"/>
      <c r="F146" s="7"/>
      <c r="G146" s="7"/>
      <c r="H146" s="55"/>
      <c r="I146" s="97"/>
      <c r="J146" s="97"/>
      <c r="K146" s="97"/>
      <c r="L146" s="97"/>
      <c r="M146" s="7"/>
      <c r="N146" s="7"/>
      <c r="O146" s="7"/>
      <c r="P146" s="7"/>
      <c r="Q146" s="7"/>
      <c r="R146" s="7"/>
      <c r="S146" s="7"/>
      <c r="T146" s="7"/>
      <c r="U146" s="7"/>
      <c r="V146" s="7"/>
      <c r="W146" s="7"/>
    </row>
    <row r="147" spans="1:23" ht="15.75" customHeight="1" x14ac:dyDescent="0.2">
      <c r="A147" s="7"/>
      <c r="B147" s="55"/>
      <c r="C147" s="7"/>
      <c r="D147" s="7"/>
      <c r="E147" s="7"/>
      <c r="F147" s="7"/>
      <c r="G147" s="7"/>
      <c r="H147" s="55"/>
      <c r="I147" s="97"/>
      <c r="J147" s="97"/>
      <c r="K147" s="97"/>
      <c r="L147" s="97"/>
      <c r="M147" s="7"/>
      <c r="N147" s="7"/>
      <c r="O147" s="7"/>
      <c r="P147" s="7"/>
      <c r="Q147" s="7"/>
      <c r="R147" s="7"/>
      <c r="S147" s="7"/>
      <c r="T147" s="7"/>
      <c r="U147" s="7"/>
      <c r="V147" s="7"/>
      <c r="W147" s="7"/>
    </row>
    <row r="148" spans="1:23" ht="15.75" customHeight="1" x14ac:dyDescent="0.2">
      <c r="A148" s="7"/>
      <c r="B148" s="55"/>
      <c r="C148" s="7"/>
      <c r="D148" s="7"/>
      <c r="E148" s="7"/>
      <c r="F148" s="7"/>
      <c r="G148" s="7"/>
      <c r="H148" s="55"/>
      <c r="I148" s="97"/>
      <c r="J148" s="97"/>
      <c r="K148" s="97"/>
      <c r="L148" s="97"/>
      <c r="M148" s="7"/>
      <c r="N148" s="7"/>
      <c r="O148" s="7"/>
      <c r="P148" s="7"/>
      <c r="Q148" s="7"/>
      <c r="R148" s="7"/>
      <c r="S148" s="7"/>
      <c r="T148" s="7"/>
      <c r="U148" s="7"/>
      <c r="V148" s="7"/>
      <c r="W148" s="7"/>
    </row>
    <row r="149" spans="1:23" ht="15.75" customHeight="1" x14ac:dyDescent="0.2">
      <c r="A149" s="7"/>
      <c r="B149" s="55"/>
      <c r="C149" s="7"/>
      <c r="D149" s="7"/>
      <c r="E149" s="7"/>
      <c r="F149" s="7"/>
      <c r="G149" s="7"/>
      <c r="H149" s="55"/>
      <c r="I149" s="97"/>
      <c r="J149" s="97"/>
      <c r="K149" s="97"/>
      <c r="L149" s="97"/>
      <c r="M149" s="7"/>
      <c r="N149" s="7"/>
      <c r="O149" s="7"/>
      <c r="P149" s="7"/>
      <c r="Q149" s="7"/>
      <c r="R149" s="7"/>
      <c r="S149" s="7"/>
      <c r="T149" s="7"/>
      <c r="U149" s="7"/>
      <c r="V149" s="7"/>
      <c r="W149" s="7"/>
    </row>
    <row r="150" spans="1:23" ht="15.75" customHeight="1" x14ac:dyDescent="0.2">
      <c r="A150" s="7"/>
      <c r="B150" s="55"/>
      <c r="C150" s="7"/>
      <c r="D150" s="7"/>
      <c r="E150" s="7"/>
      <c r="F150" s="7"/>
      <c r="G150" s="7"/>
      <c r="H150" s="55"/>
      <c r="I150" s="97"/>
      <c r="J150" s="97"/>
      <c r="K150" s="97"/>
      <c r="L150" s="97"/>
      <c r="M150" s="7"/>
      <c r="N150" s="7"/>
      <c r="O150" s="7"/>
      <c r="P150" s="7"/>
      <c r="Q150" s="7"/>
      <c r="R150" s="7"/>
      <c r="S150" s="7"/>
      <c r="T150" s="7"/>
      <c r="U150" s="7"/>
      <c r="V150" s="7"/>
      <c r="W150" s="7"/>
    </row>
    <row r="151" spans="1:23" ht="15.75" customHeight="1" x14ac:dyDescent="0.2">
      <c r="A151" s="7"/>
      <c r="B151" s="55"/>
      <c r="C151" s="7"/>
      <c r="D151" s="7"/>
      <c r="E151" s="7"/>
      <c r="F151" s="7"/>
      <c r="G151" s="7"/>
      <c r="H151" s="55"/>
      <c r="I151" s="97"/>
      <c r="J151" s="97"/>
      <c r="K151" s="97"/>
      <c r="L151" s="97"/>
      <c r="M151" s="7"/>
      <c r="N151" s="7"/>
      <c r="O151" s="7"/>
      <c r="P151" s="7"/>
      <c r="Q151" s="7"/>
      <c r="R151" s="7"/>
      <c r="S151" s="7"/>
      <c r="T151" s="7"/>
      <c r="U151" s="7"/>
      <c r="V151" s="7"/>
      <c r="W151" s="7"/>
    </row>
    <row r="152" spans="1:23" ht="15.75" customHeight="1" x14ac:dyDescent="0.2">
      <c r="A152" s="7"/>
      <c r="B152" s="55"/>
      <c r="C152" s="7"/>
      <c r="D152" s="7"/>
      <c r="E152" s="7"/>
      <c r="F152" s="7"/>
      <c r="G152" s="7"/>
      <c r="H152" s="55"/>
      <c r="I152" s="97"/>
      <c r="J152" s="97"/>
      <c r="K152" s="97"/>
      <c r="L152" s="97"/>
      <c r="M152" s="7"/>
      <c r="N152" s="7"/>
      <c r="O152" s="7"/>
      <c r="P152" s="7"/>
      <c r="Q152" s="7"/>
      <c r="R152" s="7"/>
      <c r="S152" s="7"/>
      <c r="T152" s="7"/>
      <c r="U152" s="7"/>
      <c r="V152" s="7"/>
      <c r="W152" s="7"/>
    </row>
    <row r="153" spans="1:23" ht="15.75" customHeight="1" x14ac:dyDescent="0.2">
      <c r="A153" s="7"/>
      <c r="B153" s="55"/>
      <c r="C153" s="7"/>
      <c r="D153" s="7"/>
      <c r="E153" s="7"/>
      <c r="F153" s="7"/>
      <c r="G153" s="7"/>
      <c r="H153" s="55"/>
      <c r="I153" s="97"/>
      <c r="J153" s="97"/>
      <c r="K153" s="97"/>
      <c r="L153" s="97"/>
      <c r="M153" s="7"/>
      <c r="N153" s="7"/>
      <c r="O153" s="7"/>
      <c r="P153" s="7"/>
      <c r="Q153" s="7"/>
      <c r="R153" s="7"/>
      <c r="S153" s="7"/>
      <c r="T153" s="7"/>
      <c r="U153" s="7"/>
      <c r="V153" s="7"/>
      <c r="W153" s="7"/>
    </row>
    <row r="154" spans="1:23" ht="15.75" customHeight="1" x14ac:dyDescent="0.2">
      <c r="A154" s="7"/>
      <c r="B154" s="55"/>
      <c r="C154" s="7"/>
      <c r="D154" s="7"/>
      <c r="E154" s="7"/>
      <c r="F154" s="7"/>
      <c r="G154" s="7"/>
      <c r="H154" s="55"/>
      <c r="I154" s="97"/>
      <c r="J154" s="97"/>
      <c r="K154" s="97"/>
      <c r="L154" s="97"/>
      <c r="M154" s="7"/>
      <c r="N154" s="7"/>
      <c r="O154" s="7"/>
      <c r="P154" s="7"/>
      <c r="Q154" s="7"/>
      <c r="R154" s="7"/>
      <c r="S154" s="7"/>
      <c r="T154" s="7"/>
      <c r="U154" s="7"/>
      <c r="V154" s="7"/>
      <c r="W154" s="7"/>
    </row>
    <row r="155" spans="1:23" ht="15.75" customHeight="1" x14ac:dyDescent="0.2">
      <c r="A155" s="7"/>
      <c r="B155" s="55"/>
      <c r="C155" s="7"/>
      <c r="D155" s="7"/>
      <c r="E155" s="7"/>
      <c r="F155" s="7"/>
      <c r="G155" s="7"/>
      <c r="H155" s="55"/>
      <c r="I155" s="97"/>
      <c r="J155" s="97"/>
      <c r="K155" s="97"/>
      <c r="L155" s="97"/>
      <c r="M155" s="7"/>
      <c r="N155" s="7"/>
      <c r="O155" s="7"/>
      <c r="P155" s="7"/>
      <c r="Q155" s="7"/>
      <c r="R155" s="7"/>
      <c r="S155" s="7"/>
      <c r="T155" s="7"/>
      <c r="U155" s="7"/>
      <c r="V155" s="7"/>
      <c r="W155" s="7"/>
    </row>
    <row r="156" spans="1:23" ht="15.75" customHeight="1" x14ac:dyDescent="0.2">
      <c r="A156" s="7"/>
      <c r="B156" s="55"/>
      <c r="C156" s="7"/>
      <c r="D156" s="7"/>
      <c r="E156" s="7"/>
      <c r="F156" s="7"/>
      <c r="G156" s="7"/>
      <c r="H156" s="55"/>
      <c r="I156" s="97"/>
      <c r="J156" s="97"/>
      <c r="K156" s="97"/>
      <c r="L156" s="97"/>
      <c r="M156" s="7"/>
      <c r="N156" s="7"/>
      <c r="O156" s="7"/>
      <c r="P156" s="7"/>
      <c r="Q156" s="7"/>
      <c r="R156" s="7"/>
      <c r="S156" s="7"/>
      <c r="T156" s="7"/>
      <c r="U156" s="7"/>
      <c r="V156" s="7"/>
      <c r="W156" s="7"/>
    </row>
    <row r="157" spans="1:23" ht="15.75" customHeight="1" x14ac:dyDescent="0.2">
      <c r="A157" s="7"/>
      <c r="B157" s="55"/>
      <c r="C157" s="7"/>
      <c r="D157" s="7"/>
      <c r="E157" s="7"/>
      <c r="F157" s="7"/>
      <c r="G157" s="7"/>
      <c r="H157" s="55"/>
      <c r="I157" s="97"/>
      <c r="J157" s="97"/>
      <c r="K157" s="97"/>
      <c r="L157" s="97"/>
      <c r="M157" s="7"/>
      <c r="N157" s="7"/>
      <c r="O157" s="7"/>
      <c r="P157" s="7"/>
      <c r="Q157" s="7"/>
      <c r="R157" s="7"/>
      <c r="S157" s="7"/>
      <c r="T157" s="7"/>
      <c r="U157" s="7"/>
      <c r="V157" s="7"/>
      <c r="W157" s="7"/>
    </row>
    <row r="158" spans="1:23" ht="15.75" customHeight="1" x14ac:dyDescent="0.2">
      <c r="A158" s="7"/>
      <c r="B158" s="55"/>
      <c r="C158" s="7"/>
      <c r="D158" s="7"/>
      <c r="E158" s="7"/>
      <c r="F158" s="7"/>
      <c r="G158" s="7"/>
      <c r="H158" s="55"/>
      <c r="I158" s="97"/>
      <c r="J158" s="97"/>
      <c r="K158" s="97"/>
      <c r="L158" s="97"/>
      <c r="M158" s="7"/>
      <c r="N158" s="7"/>
      <c r="O158" s="7"/>
      <c r="P158" s="7"/>
      <c r="Q158" s="7"/>
      <c r="R158" s="7"/>
      <c r="S158" s="7"/>
      <c r="T158" s="7"/>
      <c r="U158" s="7"/>
      <c r="V158" s="7"/>
      <c r="W158" s="7"/>
    </row>
    <row r="159" spans="1:23" ht="15.75" customHeight="1" x14ac:dyDescent="0.2">
      <c r="A159" s="7"/>
      <c r="B159" s="55"/>
      <c r="C159" s="7"/>
      <c r="D159" s="7"/>
      <c r="E159" s="7"/>
      <c r="F159" s="7"/>
      <c r="G159" s="7"/>
      <c r="H159" s="55"/>
      <c r="I159" s="97"/>
      <c r="J159" s="97"/>
      <c r="K159" s="97"/>
      <c r="L159" s="97"/>
      <c r="M159" s="7"/>
      <c r="N159" s="7"/>
      <c r="O159" s="7"/>
      <c r="P159" s="7"/>
      <c r="Q159" s="7"/>
      <c r="R159" s="7"/>
      <c r="S159" s="7"/>
      <c r="T159" s="7"/>
      <c r="U159" s="7"/>
      <c r="V159" s="7"/>
      <c r="W159" s="7"/>
    </row>
    <row r="160" spans="1:23" ht="15.75" customHeight="1" x14ac:dyDescent="0.2">
      <c r="A160" s="7"/>
      <c r="B160" s="55"/>
      <c r="C160" s="7"/>
      <c r="D160" s="7"/>
      <c r="E160" s="7"/>
      <c r="F160" s="7"/>
      <c r="G160" s="7"/>
      <c r="H160" s="55"/>
      <c r="I160" s="97"/>
      <c r="J160" s="97"/>
      <c r="K160" s="97"/>
      <c r="L160" s="97"/>
      <c r="M160" s="7"/>
      <c r="N160" s="7"/>
      <c r="O160" s="7"/>
      <c r="P160" s="7"/>
      <c r="Q160" s="7"/>
      <c r="R160" s="7"/>
      <c r="S160" s="7"/>
      <c r="T160" s="7"/>
      <c r="U160" s="7"/>
      <c r="V160" s="7"/>
      <c r="W160" s="7"/>
    </row>
    <row r="161" spans="1:23" ht="15.75" customHeight="1" x14ac:dyDescent="0.2">
      <c r="A161" s="7"/>
      <c r="B161" s="55"/>
      <c r="C161" s="7"/>
      <c r="D161" s="7"/>
      <c r="E161" s="7"/>
      <c r="F161" s="7"/>
      <c r="G161" s="7"/>
      <c r="H161" s="55"/>
      <c r="I161" s="97"/>
      <c r="J161" s="97"/>
      <c r="K161" s="97"/>
      <c r="L161" s="97"/>
      <c r="M161" s="7"/>
      <c r="N161" s="7"/>
      <c r="O161" s="7"/>
      <c r="P161" s="7"/>
      <c r="Q161" s="7"/>
      <c r="R161" s="7"/>
      <c r="S161" s="7"/>
      <c r="T161" s="7"/>
      <c r="U161" s="7"/>
      <c r="V161" s="7"/>
      <c r="W161" s="7"/>
    </row>
    <row r="162" spans="1:23" ht="15.75" customHeight="1" x14ac:dyDescent="0.2">
      <c r="A162" s="7"/>
      <c r="B162" s="55"/>
      <c r="C162" s="7"/>
      <c r="D162" s="7"/>
      <c r="E162" s="7"/>
      <c r="F162" s="7"/>
      <c r="G162" s="7"/>
      <c r="H162" s="55"/>
      <c r="I162" s="97"/>
      <c r="J162" s="97"/>
      <c r="K162" s="97"/>
      <c r="L162" s="97"/>
      <c r="M162" s="7"/>
      <c r="N162" s="7"/>
      <c r="O162" s="7"/>
      <c r="P162" s="7"/>
      <c r="Q162" s="7"/>
      <c r="R162" s="7"/>
      <c r="S162" s="7"/>
      <c r="T162" s="7"/>
      <c r="U162" s="7"/>
      <c r="V162" s="7"/>
      <c r="W162" s="7"/>
    </row>
    <row r="163" spans="1:23" ht="15.75" customHeight="1" x14ac:dyDescent="0.2">
      <c r="A163" s="7"/>
      <c r="B163" s="55"/>
      <c r="C163" s="7"/>
      <c r="D163" s="7"/>
      <c r="E163" s="7"/>
      <c r="F163" s="7"/>
      <c r="G163" s="7"/>
      <c r="H163" s="55"/>
      <c r="I163" s="97"/>
      <c r="J163" s="97"/>
      <c r="K163" s="97"/>
      <c r="L163" s="97"/>
      <c r="M163" s="7"/>
      <c r="N163" s="7"/>
      <c r="O163" s="7"/>
      <c r="P163" s="7"/>
      <c r="Q163" s="7"/>
      <c r="R163" s="7"/>
      <c r="S163" s="7"/>
      <c r="T163" s="7"/>
      <c r="U163" s="7"/>
      <c r="V163" s="7"/>
      <c r="W163" s="7"/>
    </row>
    <row r="164" spans="1:23" ht="15.75" customHeight="1" x14ac:dyDescent="0.2">
      <c r="A164" s="7"/>
      <c r="B164" s="55"/>
      <c r="C164" s="7"/>
      <c r="D164" s="7"/>
      <c r="E164" s="7"/>
      <c r="F164" s="7"/>
      <c r="G164" s="7"/>
      <c r="H164" s="55"/>
      <c r="I164" s="97"/>
      <c r="J164" s="97"/>
      <c r="K164" s="97"/>
      <c r="L164" s="97"/>
      <c r="M164" s="7"/>
      <c r="N164" s="7"/>
      <c r="O164" s="7"/>
      <c r="P164" s="7"/>
      <c r="Q164" s="7"/>
      <c r="R164" s="7"/>
      <c r="S164" s="7"/>
      <c r="T164" s="7"/>
      <c r="U164" s="7"/>
      <c r="V164" s="7"/>
      <c r="W164" s="7"/>
    </row>
    <row r="165" spans="1:23" ht="15.75" customHeight="1" x14ac:dyDescent="0.2">
      <c r="A165" s="7"/>
      <c r="B165" s="55"/>
      <c r="C165" s="7"/>
      <c r="D165" s="7"/>
      <c r="E165" s="7"/>
      <c r="F165" s="7"/>
      <c r="G165" s="7"/>
      <c r="H165" s="55"/>
      <c r="I165" s="97"/>
      <c r="J165" s="97"/>
      <c r="K165" s="97"/>
      <c r="L165" s="97"/>
      <c r="M165" s="7"/>
      <c r="N165" s="7"/>
      <c r="O165" s="7"/>
      <c r="P165" s="7"/>
      <c r="Q165" s="7"/>
      <c r="R165" s="7"/>
      <c r="S165" s="7"/>
      <c r="T165" s="7"/>
      <c r="U165" s="7"/>
      <c r="V165" s="7"/>
      <c r="W165" s="7"/>
    </row>
    <row r="166" spans="1:23" ht="15.75" customHeight="1" x14ac:dyDescent="0.2">
      <c r="A166" s="7"/>
      <c r="B166" s="55"/>
      <c r="C166" s="7"/>
      <c r="D166" s="7"/>
      <c r="E166" s="7"/>
      <c r="F166" s="7"/>
      <c r="G166" s="7"/>
      <c r="H166" s="55"/>
      <c r="I166" s="97"/>
      <c r="J166" s="97"/>
      <c r="K166" s="97"/>
      <c r="L166" s="97"/>
      <c r="M166" s="7"/>
      <c r="N166" s="7"/>
      <c r="O166" s="7"/>
      <c r="P166" s="7"/>
      <c r="Q166" s="7"/>
      <c r="R166" s="7"/>
      <c r="S166" s="7"/>
      <c r="T166" s="7"/>
      <c r="U166" s="7"/>
      <c r="V166" s="7"/>
      <c r="W166" s="7"/>
    </row>
    <row r="167" spans="1:23" ht="15.75" customHeight="1" x14ac:dyDescent="0.2">
      <c r="A167" s="7"/>
      <c r="B167" s="55"/>
      <c r="C167" s="7"/>
      <c r="D167" s="7"/>
      <c r="E167" s="7"/>
      <c r="F167" s="7"/>
      <c r="G167" s="7"/>
      <c r="H167" s="55"/>
      <c r="I167" s="97"/>
      <c r="J167" s="97"/>
      <c r="K167" s="97"/>
      <c r="L167" s="97"/>
      <c r="M167" s="7"/>
      <c r="N167" s="7"/>
      <c r="O167" s="7"/>
      <c r="P167" s="7"/>
      <c r="Q167" s="7"/>
      <c r="R167" s="7"/>
      <c r="S167" s="7"/>
      <c r="T167" s="7"/>
      <c r="U167" s="7"/>
      <c r="V167" s="7"/>
      <c r="W167" s="7"/>
    </row>
    <row r="168" spans="1:23" ht="15.75" customHeight="1" x14ac:dyDescent="0.2">
      <c r="A168" s="7"/>
      <c r="B168" s="55"/>
      <c r="C168" s="7"/>
      <c r="D168" s="7"/>
      <c r="E168" s="7"/>
      <c r="F168" s="7"/>
      <c r="G168" s="7"/>
      <c r="H168" s="55"/>
      <c r="I168" s="97"/>
      <c r="J168" s="97"/>
      <c r="K168" s="97"/>
      <c r="L168" s="97"/>
      <c r="M168" s="7"/>
      <c r="N168" s="7"/>
      <c r="O168" s="7"/>
      <c r="P168" s="7"/>
      <c r="Q168" s="7"/>
      <c r="R168" s="7"/>
      <c r="S168" s="7"/>
      <c r="T168" s="7"/>
      <c r="U168" s="7"/>
      <c r="V168" s="7"/>
      <c r="W168" s="7"/>
    </row>
    <row r="169" spans="1:23" ht="15.75" customHeight="1" x14ac:dyDescent="0.2">
      <c r="A169" s="7"/>
      <c r="B169" s="55"/>
      <c r="C169" s="7"/>
      <c r="D169" s="7"/>
      <c r="E169" s="7"/>
      <c r="F169" s="7"/>
      <c r="G169" s="7"/>
      <c r="H169" s="55"/>
      <c r="I169" s="97"/>
      <c r="J169" s="97"/>
      <c r="K169" s="97"/>
      <c r="L169" s="97"/>
      <c r="M169" s="7"/>
      <c r="N169" s="7"/>
      <c r="O169" s="7"/>
      <c r="P169" s="7"/>
      <c r="Q169" s="7"/>
      <c r="R169" s="7"/>
      <c r="S169" s="7"/>
      <c r="T169" s="7"/>
      <c r="U169" s="7"/>
      <c r="V169" s="7"/>
      <c r="W169" s="7"/>
    </row>
    <row r="170" spans="1:23" ht="15.75" customHeight="1" x14ac:dyDescent="0.2">
      <c r="A170" s="7"/>
      <c r="B170" s="55"/>
      <c r="C170" s="7"/>
      <c r="D170" s="7"/>
      <c r="E170" s="7"/>
      <c r="F170" s="7"/>
      <c r="G170" s="7"/>
      <c r="H170" s="55"/>
      <c r="I170" s="97"/>
      <c r="J170" s="97"/>
      <c r="K170" s="97"/>
      <c r="L170" s="97"/>
      <c r="M170" s="7"/>
      <c r="N170" s="7"/>
      <c r="O170" s="7"/>
      <c r="P170" s="7"/>
      <c r="Q170" s="7"/>
      <c r="R170" s="7"/>
      <c r="S170" s="7"/>
      <c r="T170" s="7"/>
      <c r="U170" s="7"/>
      <c r="V170" s="7"/>
      <c r="W170" s="7"/>
    </row>
    <row r="171" spans="1:23" ht="15.75" customHeight="1" x14ac:dyDescent="0.2">
      <c r="A171" s="7"/>
      <c r="B171" s="55"/>
      <c r="C171" s="7"/>
      <c r="D171" s="7"/>
      <c r="E171" s="7"/>
      <c r="F171" s="7"/>
      <c r="G171" s="7"/>
      <c r="H171" s="55"/>
      <c r="I171" s="97"/>
      <c r="J171" s="97"/>
      <c r="K171" s="97"/>
      <c r="L171" s="97"/>
      <c r="M171" s="7"/>
      <c r="N171" s="7"/>
      <c r="O171" s="7"/>
      <c r="P171" s="7"/>
      <c r="Q171" s="7"/>
      <c r="R171" s="7"/>
      <c r="S171" s="7"/>
      <c r="T171" s="7"/>
      <c r="U171" s="7"/>
      <c r="V171" s="7"/>
      <c r="W171" s="7"/>
    </row>
    <row r="172" spans="1:23" ht="15.75" customHeight="1" x14ac:dyDescent="0.2">
      <c r="A172" s="7"/>
      <c r="B172" s="55"/>
      <c r="C172" s="7"/>
      <c r="D172" s="7"/>
      <c r="E172" s="7"/>
      <c r="F172" s="7"/>
      <c r="G172" s="7"/>
      <c r="H172" s="55"/>
      <c r="I172" s="97"/>
      <c r="J172" s="97"/>
      <c r="K172" s="97"/>
      <c r="L172" s="97"/>
      <c r="M172" s="7"/>
      <c r="N172" s="7"/>
      <c r="O172" s="7"/>
      <c r="P172" s="7"/>
      <c r="Q172" s="7"/>
      <c r="R172" s="7"/>
      <c r="S172" s="7"/>
      <c r="T172" s="7"/>
      <c r="U172" s="7"/>
      <c r="V172" s="7"/>
      <c r="W172" s="7"/>
    </row>
    <row r="173" spans="1:23" ht="15.75" customHeight="1" x14ac:dyDescent="0.2">
      <c r="A173" s="7"/>
      <c r="B173" s="55"/>
      <c r="C173" s="7"/>
      <c r="D173" s="7"/>
      <c r="E173" s="7"/>
      <c r="F173" s="7"/>
      <c r="G173" s="7"/>
      <c r="H173" s="55"/>
      <c r="I173" s="97"/>
      <c r="J173" s="97"/>
      <c r="K173" s="97"/>
      <c r="L173" s="97"/>
      <c r="M173" s="7"/>
      <c r="N173" s="7"/>
      <c r="O173" s="7"/>
      <c r="P173" s="7"/>
      <c r="Q173" s="7"/>
      <c r="R173" s="7"/>
      <c r="S173" s="7"/>
      <c r="T173" s="7"/>
      <c r="U173" s="7"/>
      <c r="V173" s="7"/>
      <c r="W173" s="7"/>
    </row>
    <row r="174" spans="1:23" ht="15.75" customHeight="1" x14ac:dyDescent="0.2">
      <c r="A174" s="7"/>
      <c r="B174" s="55"/>
      <c r="C174" s="7"/>
      <c r="D174" s="7"/>
      <c r="E174" s="7"/>
      <c r="F174" s="7"/>
      <c r="G174" s="7"/>
      <c r="H174" s="55"/>
      <c r="I174" s="97"/>
      <c r="J174" s="97"/>
      <c r="K174" s="97"/>
      <c r="L174" s="97"/>
      <c r="M174" s="7"/>
      <c r="N174" s="7"/>
      <c r="O174" s="7"/>
      <c r="P174" s="7"/>
      <c r="Q174" s="7"/>
      <c r="R174" s="7"/>
      <c r="S174" s="7"/>
      <c r="T174" s="7"/>
      <c r="U174" s="7"/>
      <c r="V174" s="7"/>
      <c r="W174" s="7"/>
    </row>
    <row r="175" spans="1:23" ht="15.75" customHeight="1" x14ac:dyDescent="0.2">
      <c r="A175" s="7"/>
      <c r="B175" s="55"/>
      <c r="C175" s="7"/>
      <c r="D175" s="7"/>
      <c r="E175" s="7"/>
      <c r="F175" s="7"/>
      <c r="G175" s="7"/>
      <c r="H175" s="55"/>
      <c r="I175" s="97"/>
      <c r="J175" s="97"/>
      <c r="K175" s="97"/>
      <c r="L175" s="97"/>
      <c r="M175" s="7"/>
      <c r="N175" s="7"/>
      <c r="O175" s="7"/>
      <c r="P175" s="7"/>
      <c r="Q175" s="7"/>
      <c r="R175" s="7"/>
      <c r="S175" s="7"/>
      <c r="T175" s="7"/>
      <c r="U175" s="7"/>
      <c r="V175" s="7"/>
      <c r="W175" s="7"/>
    </row>
    <row r="176" spans="1:23" ht="15.75" customHeight="1" x14ac:dyDescent="0.2">
      <c r="A176" s="7"/>
      <c r="B176" s="55"/>
      <c r="C176" s="7"/>
      <c r="D176" s="7"/>
      <c r="E176" s="7"/>
      <c r="F176" s="7"/>
      <c r="G176" s="7"/>
      <c r="H176" s="55"/>
      <c r="I176" s="97"/>
      <c r="J176" s="97"/>
      <c r="K176" s="97"/>
      <c r="L176" s="97"/>
      <c r="M176" s="7"/>
      <c r="N176" s="7"/>
      <c r="O176" s="7"/>
      <c r="P176" s="7"/>
      <c r="Q176" s="7"/>
      <c r="R176" s="7"/>
      <c r="S176" s="7"/>
      <c r="T176" s="7"/>
      <c r="U176" s="7"/>
      <c r="V176" s="7"/>
      <c r="W176" s="7"/>
    </row>
    <row r="177" spans="1:23" ht="15.75" customHeight="1" x14ac:dyDescent="0.2">
      <c r="A177" s="7"/>
      <c r="B177" s="55"/>
      <c r="C177" s="7"/>
      <c r="D177" s="7"/>
      <c r="E177" s="7"/>
      <c r="F177" s="7"/>
      <c r="G177" s="7"/>
      <c r="H177" s="55"/>
      <c r="I177" s="97"/>
      <c r="J177" s="97"/>
      <c r="K177" s="97"/>
      <c r="L177" s="97"/>
      <c r="M177" s="7"/>
      <c r="N177" s="7"/>
      <c r="O177" s="7"/>
      <c r="P177" s="7"/>
      <c r="Q177" s="7"/>
      <c r="R177" s="7"/>
      <c r="S177" s="7"/>
      <c r="T177" s="7"/>
      <c r="U177" s="7"/>
      <c r="V177" s="7"/>
      <c r="W177" s="7"/>
    </row>
    <row r="178" spans="1:23" ht="15.75" customHeight="1" x14ac:dyDescent="0.2">
      <c r="A178" s="7"/>
      <c r="B178" s="55"/>
      <c r="C178" s="7"/>
      <c r="D178" s="7"/>
      <c r="E178" s="7"/>
      <c r="F178" s="7"/>
      <c r="G178" s="7"/>
      <c r="H178" s="55"/>
      <c r="I178" s="97"/>
      <c r="J178" s="97"/>
      <c r="K178" s="97"/>
      <c r="L178" s="97"/>
      <c r="M178" s="7"/>
      <c r="N178" s="7"/>
      <c r="O178" s="7"/>
      <c r="P178" s="7"/>
      <c r="Q178" s="7"/>
      <c r="R178" s="7"/>
      <c r="S178" s="7"/>
      <c r="T178" s="7"/>
      <c r="U178" s="7"/>
      <c r="V178" s="7"/>
      <c r="W178" s="7"/>
    </row>
    <row r="179" spans="1:23" ht="15.75" customHeight="1" x14ac:dyDescent="0.2">
      <c r="A179" s="7"/>
      <c r="B179" s="55"/>
      <c r="C179" s="7"/>
      <c r="D179" s="7"/>
      <c r="E179" s="7"/>
      <c r="F179" s="7"/>
      <c r="G179" s="7"/>
      <c r="H179" s="55"/>
      <c r="I179" s="97"/>
      <c r="J179" s="97"/>
      <c r="K179" s="97"/>
      <c r="L179" s="97"/>
      <c r="M179" s="7"/>
      <c r="N179" s="7"/>
      <c r="O179" s="7"/>
      <c r="P179" s="7"/>
      <c r="Q179" s="7"/>
      <c r="R179" s="7"/>
      <c r="S179" s="7"/>
      <c r="T179" s="7"/>
      <c r="U179" s="7"/>
      <c r="V179" s="7"/>
      <c r="W179" s="7"/>
    </row>
    <row r="180" spans="1:23" ht="15.75" customHeight="1" x14ac:dyDescent="0.2">
      <c r="A180" s="7"/>
      <c r="B180" s="55"/>
      <c r="C180" s="7"/>
      <c r="D180" s="7"/>
      <c r="E180" s="7"/>
      <c r="F180" s="7"/>
      <c r="G180" s="7"/>
      <c r="H180" s="55"/>
      <c r="I180" s="97"/>
      <c r="J180" s="97"/>
      <c r="K180" s="97"/>
      <c r="L180" s="97"/>
      <c r="M180" s="7"/>
      <c r="N180" s="7"/>
      <c r="O180" s="7"/>
      <c r="P180" s="7"/>
      <c r="Q180" s="7"/>
      <c r="R180" s="7"/>
      <c r="S180" s="7"/>
      <c r="T180" s="7"/>
      <c r="U180" s="7"/>
      <c r="V180" s="7"/>
      <c r="W180" s="7"/>
    </row>
    <row r="181" spans="1:23" ht="15.75" customHeight="1" x14ac:dyDescent="0.2">
      <c r="A181" s="7"/>
      <c r="B181" s="55"/>
      <c r="C181" s="7"/>
      <c r="D181" s="7"/>
      <c r="E181" s="7"/>
      <c r="F181" s="7"/>
      <c r="G181" s="7"/>
      <c r="H181" s="55"/>
      <c r="I181" s="97"/>
      <c r="J181" s="97"/>
      <c r="K181" s="97"/>
      <c r="L181" s="97"/>
      <c r="M181" s="7"/>
      <c r="N181" s="7"/>
      <c r="O181" s="7"/>
      <c r="P181" s="7"/>
      <c r="Q181" s="7"/>
      <c r="R181" s="7"/>
      <c r="S181" s="7"/>
      <c r="T181" s="7"/>
      <c r="U181" s="7"/>
      <c r="V181" s="7"/>
      <c r="W181" s="7"/>
    </row>
    <row r="182" spans="1:23" ht="15.75" customHeight="1" x14ac:dyDescent="0.2">
      <c r="A182" s="7"/>
      <c r="B182" s="55"/>
      <c r="C182" s="7"/>
      <c r="D182" s="7"/>
      <c r="E182" s="7"/>
      <c r="F182" s="7"/>
      <c r="G182" s="7"/>
      <c r="H182" s="55"/>
      <c r="I182" s="97"/>
      <c r="J182" s="97"/>
      <c r="K182" s="97"/>
      <c r="L182" s="97"/>
      <c r="M182" s="7"/>
      <c r="N182" s="7"/>
      <c r="O182" s="7"/>
      <c r="P182" s="7"/>
      <c r="Q182" s="7"/>
      <c r="R182" s="7"/>
      <c r="S182" s="7"/>
      <c r="T182" s="7"/>
      <c r="U182" s="7"/>
      <c r="V182" s="7"/>
      <c r="W182" s="7"/>
    </row>
    <row r="183" spans="1:23" ht="15.75" customHeight="1" x14ac:dyDescent="0.2">
      <c r="A183" s="7"/>
      <c r="B183" s="55"/>
      <c r="C183" s="7"/>
      <c r="D183" s="7"/>
      <c r="E183" s="7"/>
      <c r="F183" s="7"/>
      <c r="G183" s="7"/>
      <c r="H183" s="55"/>
      <c r="I183" s="97"/>
      <c r="J183" s="97"/>
      <c r="K183" s="97"/>
      <c r="L183" s="97"/>
      <c r="M183" s="7"/>
      <c r="N183" s="7"/>
      <c r="O183" s="7"/>
      <c r="P183" s="7"/>
      <c r="Q183" s="7"/>
      <c r="R183" s="7"/>
      <c r="S183" s="7"/>
      <c r="T183" s="7"/>
      <c r="U183" s="7"/>
      <c r="V183" s="7"/>
      <c r="W183" s="7"/>
    </row>
    <row r="184" spans="1:23" ht="15.75" customHeight="1" x14ac:dyDescent="0.2">
      <c r="A184" s="7"/>
      <c r="B184" s="55"/>
      <c r="C184" s="7"/>
      <c r="D184" s="7"/>
      <c r="E184" s="7"/>
      <c r="F184" s="7"/>
      <c r="G184" s="7"/>
      <c r="H184" s="55"/>
      <c r="I184" s="97"/>
      <c r="J184" s="97"/>
      <c r="K184" s="97"/>
      <c r="L184" s="97"/>
      <c r="M184" s="7"/>
      <c r="N184" s="7"/>
      <c r="O184" s="7"/>
      <c r="P184" s="7"/>
      <c r="Q184" s="7"/>
      <c r="R184" s="7"/>
      <c r="S184" s="7"/>
      <c r="T184" s="7"/>
      <c r="U184" s="7"/>
      <c r="V184" s="7"/>
      <c r="W184" s="7"/>
    </row>
    <row r="185" spans="1:23" ht="15.75" customHeight="1" x14ac:dyDescent="0.2">
      <c r="A185" s="7"/>
      <c r="B185" s="55"/>
      <c r="C185" s="7"/>
      <c r="D185" s="7"/>
      <c r="E185" s="7"/>
      <c r="F185" s="7"/>
      <c r="G185" s="7"/>
      <c r="H185" s="55"/>
      <c r="I185" s="97"/>
      <c r="J185" s="97"/>
      <c r="K185" s="97"/>
      <c r="L185" s="97"/>
      <c r="M185" s="7"/>
      <c r="N185" s="7"/>
      <c r="O185" s="7"/>
      <c r="P185" s="7"/>
      <c r="Q185" s="7"/>
      <c r="R185" s="7"/>
      <c r="S185" s="7"/>
      <c r="T185" s="7"/>
      <c r="U185" s="7"/>
      <c r="V185" s="7"/>
      <c r="W185" s="7"/>
    </row>
    <row r="186" spans="1:23" ht="15.75" customHeight="1" x14ac:dyDescent="0.2">
      <c r="A186" s="7"/>
      <c r="B186" s="55"/>
      <c r="C186" s="7"/>
      <c r="D186" s="7"/>
      <c r="E186" s="7"/>
      <c r="F186" s="7"/>
      <c r="G186" s="7"/>
      <c r="H186" s="55"/>
      <c r="I186" s="97"/>
      <c r="J186" s="97"/>
      <c r="K186" s="97"/>
      <c r="L186" s="97"/>
      <c r="M186" s="7"/>
      <c r="N186" s="7"/>
      <c r="O186" s="7"/>
      <c r="P186" s="7"/>
      <c r="Q186" s="7"/>
      <c r="R186" s="7"/>
      <c r="S186" s="7"/>
      <c r="T186" s="7"/>
      <c r="U186" s="7"/>
      <c r="V186" s="7"/>
      <c r="W186" s="7"/>
    </row>
    <row r="187" spans="1:23" ht="15.75" customHeight="1" x14ac:dyDescent="0.2">
      <c r="A187" s="7"/>
      <c r="B187" s="55"/>
      <c r="C187" s="7"/>
      <c r="D187" s="7"/>
      <c r="E187" s="7"/>
      <c r="F187" s="7"/>
      <c r="G187" s="7"/>
      <c r="H187" s="55"/>
      <c r="I187" s="97"/>
      <c r="J187" s="97"/>
      <c r="K187" s="97"/>
      <c r="L187" s="97"/>
      <c r="M187" s="7"/>
      <c r="N187" s="7"/>
      <c r="O187" s="7"/>
      <c r="P187" s="7"/>
      <c r="Q187" s="7"/>
      <c r="R187" s="7"/>
      <c r="S187" s="7"/>
      <c r="T187" s="7"/>
      <c r="U187" s="7"/>
      <c r="V187" s="7"/>
      <c r="W187" s="7"/>
    </row>
    <row r="188" spans="1:23" ht="15.75" customHeight="1" x14ac:dyDescent="0.2">
      <c r="A188" s="7"/>
      <c r="B188" s="55"/>
      <c r="C188" s="7"/>
      <c r="D188" s="7"/>
      <c r="E188" s="7"/>
      <c r="F188" s="7"/>
      <c r="G188" s="7"/>
      <c r="H188" s="55"/>
      <c r="I188" s="97"/>
      <c r="J188" s="97"/>
      <c r="K188" s="97"/>
      <c r="L188" s="97"/>
      <c r="M188" s="7"/>
      <c r="N188" s="7"/>
      <c r="O188" s="7"/>
      <c r="P188" s="7"/>
      <c r="Q188" s="7"/>
      <c r="R188" s="7"/>
      <c r="S188" s="7"/>
      <c r="T188" s="7"/>
      <c r="U188" s="7"/>
      <c r="V188" s="7"/>
      <c r="W188" s="7"/>
    </row>
    <row r="189" spans="1:23" ht="15.75" customHeight="1" x14ac:dyDescent="0.2">
      <c r="A189" s="7"/>
      <c r="B189" s="55"/>
      <c r="C189" s="7"/>
      <c r="D189" s="7"/>
      <c r="E189" s="7"/>
      <c r="F189" s="7"/>
      <c r="G189" s="7"/>
      <c r="H189" s="55"/>
      <c r="I189" s="97"/>
      <c r="J189" s="97"/>
      <c r="K189" s="97"/>
      <c r="L189" s="97"/>
      <c r="M189" s="7"/>
      <c r="N189" s="7"/>
      <c r="O189" s="7"/>
      <c r="P189" s="7"/>
      <c r="Q189" s="7"/>
      <c r="R189" s="7"/>
      <c r="S189" s="7"/>
      <c r="T189" s="7"/>
      <c r="U189" s="7"/>
      <c r="V189" s="7"/>
      <c r="W189" s="7"/>
    </row>
    <row r="190" spans="1:23" ht="15.75" customHeight="1" x14ac:dyDescent="0.2">
      <c r="A190" s="7"/>
      <c r="B190" s="55"/>
      <c r="C190" s="7"/>
      <c r="D190" s="7"/>
      <c r="E190" s="7"/>
      <c r="F190" s="7"/>
      <c r="G190" s="7"/>
      <c r="H190" s="55"/>
      <c r="I190" s="97"/>
      <c r="J190" s="97"/>
      <c r="K190" s="97"/>
      <c r="L190" s="97"/>
      <c r="M190" s="7"/>
      <c r="N190" s="7"/>
      <c r="O190" s="7"/>
      <c r="P190" s="7"/>
      <c r="Q190" s="7"/>
      <c r="R190" s="7"/>
      <c r="S190" s="7"/>
      <c r="T190" s="7"/>
      <c r="U190" s="7"/>
      <c r="V190" s="7"/>
      <c r="W190" s="7"/>
    </row>
    <row r="191" spans="1:23" ht="15.75" customHeight="1" x14ac:dyDescent="0.2">
      <c r="A191" s="7"/>
      <c r="B191" s="55"/>
      <c r="C191" s="7"/>
      <c r="D191" s="7"/>
      <c r="E191" s="7"/>
      <c r="F191" s="7"/>
      <c r="G191" s="7"/>
      <c r="H191" s="55"/>
      <c r="I191" s="97"/>
      <c r="J191" s="97"/>
      <c r="K191" s="97"/>
      <c r="L191" s="97"/>
      <c r="M191" s="7"/>
      <c r="N191" s="7"/>
      <c r="O191" s="7"/>
      <c r="P191" s="7"/>
      <c r="Q191" s="7"/>
      <c r="R191" s="7"/>
      <c r="S191" s="7"/>
      <c r="T191" s="7"/>
      <c r="U191" s="7"/>
      <c r="V191" s="7"/>
      <c r="W191" s="7"/>
    </row>
    <row r="192" spans="1:23" ht="15.75" customHeight="1" x14ac:dyDescent="0.2">
      <c r="A192" s="7"/>
      <c r="B192" s="55"/>
      <c r="C192" s="7"/>
      <c r="D192" s="7"/>
      <c r="E192" s="7"/>
      <c r="F192" s="7"/>
      <c r="G192" s="7"/>
      <c r="H192" s="55"/>
      <c r="I192" s="97"/>
      <c r="J192" s="97"/>
      <c r="K192" s="97"/>
      <c r="L192" s="97"/>
      <c r="M192" s="7"/>
      <c r="N192" s="7"/>
      <c r="O192" s="7"/>
      <c r="P192" s="7"/>
      <c r="Q192" s="7"/>
      <c r="R192" s="7"/>
      <c r="S192" s="7"/>
      <c r="T192" s="7"/>
      <c r="U192" s="7"/>
      <c r="V192" s="7"/>
      <c r="W192" s="7"/>
    </row>
    <row r="193" spans="1:23" ht="15.75" customHeight="1" x14ac:dyDescent="0.2">
      <c r="A193" s="7"/>
      <c r="B193" s="55"/>
      <c r="C193" s="7"/>
      <c r="D193" s="7"/>
      <c r="E193" s="7"/>
      <c r="F193" s="7"/>
      <c r="G193" s="7"/>
      <c r="H193" s="55"/>
      <c r="I193" s="97"/>
      <c r="J193" s="97"/>
      <c r="K193" s="97"/>
      <c r="L193" s="97"/>
      <c r="M193" s="7"/>
      <c r="N193" s="7"/>
      <c r="O193" s="7"/>
      <c r="P193" s="7"/>
      <c r="Q193" s="7"/>
      <c r="R193" s="7"/>
      <c r="S193" s="7"/>
      <c r="T193" s="7"/>
      <c r="U193" s="7"/>
      <c r="V193" s="7"/>
      <c r="W193" s="7"/>
    </row>
    <row r="194" spans="1:23" ht="15.75" customHeight="1" x14ac:dyDescent="0.2">
      <c r="A194" s="7"/>
      <c r="B194" s="55"/>
      <c r="C194" s="7"/>
      <c r="D194" s="7"/>
      <c r="E194" s="7"/>
      <c r="F194" s="7"/>
      <c r="G194" s="7"/>
      <c r="H194" s="55"/>
      <c r="I194" s="97"/>
      <c r="J194" s="97"/>
      <c r="K194" s="97"/>
      <c r="L194" s="97"/>
      <c r="M194" s="7"/>
      <c r="N194" s="7"/>
      <c r="O194" s="7"/>
      <c r="P194" s="7"/>
      <c r="Q194" s="7"/>
      <c r="R194" s="7"/>
      <c r="S194" s="7"/>
      <c r="T194" s="7"/>
      <c r="U194" s="7"/>
      <c r="V194" s="7"/>
      <c r="W194" s="7"/>
    </row>
    <row r="195" spans="1:23" ht="15.75" customHeight="1" x14ac:dyDescent="0.2">
      <c r="A195" s="7"/>
      <c r="B195" s="55"/>
      <c r="C195" s="7"/>
      <c r="D195" s="7"/>
      <c r="E195" s="7"/>
      <c r="F195" s="7"/>
      <c r="G195" s="7"/>
      <c r="H195" s="55"/>
      <c r="I195" s="97"/>
      <c r="J195" s="97"/>
      <c r="K195" s="97"/>
      <c r="L195" s="97"/>
      <c r="M195" s="7"/>
      <c r="N195" s="7"/>
      <c r="O195" s="7"/>
      <c r="P195" s="7"/>
      <c r="Q195" s="7"/>
      <c r="R195" s="7"/>
      <c r="S195" s="7"/>
      <c r="T195" s="7"/>
      <c r="U195" s="7"/>
      <c r="V195" s="7"/>
      <c r="W195" s="7"/>
    </row>
    <row r="196" spans="1:23" ht="15.75" customHeight="1" x14ac:dyDescent="0.2">
      <c r="A196" s="7"/>
      <c r="B196" s="55"/>
      <c r="C196" s="7"/>
      <c r="D196" s="7"/>
      <c r="E196" s="7"/>
      <c r="F196" s="7"/>
      <c r="G196" s="7"/>
      <c r="H196" s="55"/>
      <c r="I196" s="97"/>
      <c r="J196" s="97"/>
      <c r="K196" s="97"/>
      <c r="L196" s="97"/>
      <c r="M196" s="7"/>
      <c r="N196" s="7"/>
      <c r="O196" s="7"/>
      <c r="P196" s="7"/>
      <c r="Q196" s="7"/>
      <c r="R196" s="7"/>
      <c r="S196" s="7"/>
      <c r="T196" s="7"/>
      <c r="U196" s="7"/>
      <c r="V196" s="7"/>
      <c r="W196" s="7"/>
    </row>
    <row r="197" spans="1:23" ht="15.75" customHeight="1" x14ac:dyDescent="0.2">
      <c r="A197" s="7"/>
      <c r="B197" s="55"/>
      <c r="C197" s="7"/>
      <c r="D197" s="7"/>
      <c r="E197" s="7"/>
      <c r="F197" s="7"/>
      <c r="G197" s="7"/>
      <c r="H197" s="55"/>
      <c r="I197" s="97"/>
      <c r="J197" s="97"/>
      <c r="K197" s="97"/>
      <c r="L197" s="97"/>
      <c r="M197" s="7"/>
      <c r="N197" s="7"/>
      <c r="O197" s="7"/>
      <c r="P197" s="7"/>
      <c r="Q197" s="7"/>
      <c r="R197" s="7"/>
      <c r="S197" s="7"/>
      <c r="T197" s="7"/>
      <c r="U197" s="7"/>
      <c r="V197" s="7"/>
      <c r="W197" s="7"/>
    </row>
    <row r="198" spans="1:23" ht="15.75" customHeight="1" x14ac:dyDescent="0.2">
      <c r="A198" s="7"/>
      <c r="B198" s="55"/>
      <c r="C198" s="7"/>
      <c r="D198" s="7"/>
      <c r="E198" s="7"/>
      <c r="F198" s="7"/>
      <c r="G198" s="7"/>
      <c r="H198" s="55"/>
      <c r="I198" s="97"/>
      <c r="J198" s="97"/>
      <c r="K198" s="97"/>
      <c r="L198" s="97"/>
      <c r="M198" s="7"/>
      <c r="N198" s="7"/>
      <c r="O198" s="7"/>
      <c r="P198" s="7"/>
      <c r="Q198" s="7"/>
      <c r="R198" s="7"/>
      <c r="S198" s="7"/>
      <c r="T198" s="7"/>
      <c r="U198" s="7"/>
      <c r="V198" s="7"/>
      <c r="W198" s="7"/>
    </row>
    <row r="199" spans="1:23" ht="15.75" customHeight="1" x14ac:dyDescent="0.2">
      <c r="A199" s="7"/>
      <c r="B199" s="55"/>
      <c r="C199" s="7"/>
      <c r="D199" s="7"/>
      <c r="E199" s="7"/>
      <c r="F199" s="7"/>
      <c r="G199" s="7"/>
      <c r="H199" s="55"/>
      <c r="I199" s="97"/>
      <c r="J199" s="97"/>
      <c r="K199" s="97"/>
      <c r="L199" s="97"/>
      <c r="M199" s="7"/>
      <c r="N199" s="7"/>
      <c r="O199" s="7"/>
      <c r="P199" s="7"/>
      <c r="Q199" s="7"/>
      <c r="R199" s="7"/>
      <c r="S199" s="7"/>
      <c r="T199" s="7"/>
      <c r="U199" s="7"/>
      <c r="V199" s="7"/>
      <c r="W199" s="7"/>
    </row>
    <row r="200" spans="1:23" ht="15.75" customHeight="1" x14ac:dyDescent="0.2">
      <c r="A200" s="7"/>
      <c r="B200" s="55"/>
      <c r="C200" s="7"/>
      <c r="D200" s="7"/>
      <c r="E200" s="7"/>
      <c r="F200" s="7"/>
      <c r="G200" s="7"/>
      <c r="H200" s="55"/>
      <c r="I200" s="97"/>
      <c r="J200" s="97"/>
      <c r="K200" s="97"/>
      <c r="L200" s="97"/>
      <c r="M200" s="7"/>
      <c r="N200" s="7"/>
      <c r="O200" s="7"/>
      <c r="P200" s="7"/>
      <c r="Q200" s="7"/>
      <c r="R200" s="7"/>
      <c r="S200" s="7"/>
      <c r="T200" s="7"/>
      <c r="U200" s="7"/>
      <c r="V200" s="7"/>
      <c r="W200" s="7"/>
    </row>
    <row r="201" spans="1:23" ht="15.75" customHeight="1" x14ac:dyDescent="0.2">
      <c r="A201" s="7"/>
      <c r="B201" s="55"/>
      <c r="C201" s="7"/>
      <c r="D201" s="7"/>
      <c r="E201" s="7"/>
      <c r="F201" s="7"/>
      <c r="G201" s="7"/>
      <c r="H201" s="55"/>
      <c r="I201" s="97"/>
      <c r="J201" s="97"/>
      <c r="K201" s="97"/>
      <c r="L201" s="97"/>
      <c r="M201" s="7"/>
      <c r="N201" s="7"/>
      <c r="O201" s="7"/>
      <c r="P201" s="7"/>
      <c r="Q201" s="7"/>
      <c r="R201" s="7"/>
      <c r="S201" s="7"/>
      <c r="T201" s="7"/>
      <c r="U201" s="7"/>
      <c r="V201" s="7"/>
      <c r="W201" s="7"/>
    </row>
    <row r="202" spans="1:23" ht="15.75" customHeight="1" x14ac:dyDescent="0.2">
      <c r="A202" s="7"/>
      <c r="B202" s="55"/>
      <c r="C202" s="7"/>
      <c r="D202" s="7"/>
      <c r="E202" s="7"/>
      <c r="F202" s="7"/>
      <c r="G202" s="7"/>
      <c r="H202" s="55"/>
      <c r="I202" s="97"/>
      <c r="J202" s="97"/>
      <c r="K202" s="97"/>
      <c r="L202" s="97"/>
      <c r="M202" s="7"/>
      <c r="N202" s="7"/>
      <c r="O202" s="7"/>
      <c r="P202" s="7"/>
      <c r="Q202" s="7"/>
      <c r="R202" s="7"/>
      <c r="S202" s="7"/>
      <c r="T202" s="7"/>
      <c r="U202" s="7"/>
      <c r="V202" s="7"/>
      <c r="W202" s="7"/>
    </row>
    <row r="203" spans="1:23" ht="15.75" customHeight="1" x14ac:dyDescent="0.2">
      <c r="A203" s="7"/>
      <c r="B203" s="55"/>
      <c r="C203" s="7"/>
      <c r="D203" s="7"/>
      <c r="E203" s="7"/>
      <c r="F203" s="7"/>
      <c r="G203" s="7"/>
      <c r="H203" s="55"/>
      <c r="I203" s="97"/>
      <c r="J203" s="97"/>
      <c r="K203" s="97"/>
      <c r="L203" s="97"/>
      <c r="M203" s="7"/>
      <c r="N203" s="7"/>
      <c r="O203" s="7"/>
      <c r="P203" s="7"/>
      <c r="Q203" s="7"/>
      <c r="R203" s="7"/>
      <c r="S203" s="7"/>
      <c r="T203" s="7"/>
      <c r="U203" s="7"/>
      <c r="V203" s="7"/>
      <c r="W203" s="7"/>
    </row>
    <row r="204" spans="1:23" ht="15.75" customHeight="1" x14ac:dyDescent="0.2">
      <c r="A204" s="7"/>
      <c r="B204" s="55"/>
      <c r="C204" s="7"/>
      <c r="D204" s="7"/>
      <c r="E204" s="7"/>
      <c r="F204" s="7"/>
      <c r="G204" s="7"/>
      <c r="H204" s="55"/>
      <c r="I204" s="97"/>
      <c r="J204" s="97"/>
      <c r="K204" s="97"/>
      <c r="L204" s="97"/>
      <c r="M204" s="7"/>
      <c r="N204" s="7"/>
      <c r="O204" s="7"/>
      <c r="P204" s="7"/>
      <c r="Q204" s="7"/>
      <c r="R204" s="7"/>
      <c r="S204" s="7"/>
      <c r="T204" s="7"/>
      <c r="U204" s="7"/>
      <c r="V204" s="7"/>
      <c r="W204" s="7"/>
    </row>
    <row r="205" spans="1:23" ht="15.75" customHeight="1" x14ac:dyDescent="0.2">
      <c r="A205" s="7"/>
      <c r="B205" s="55"/>
      <c r="C205" s="7"/>
      <c r="D205" s="7"/>
      <c r="E205" s="7"/>
      <c r="F205" s="7"/>
      <c r="G205" s="7"/>
      <c r="H205" s="55"/>
      <c r="I205" s="97"/>
      <c r="J205" s="97"/>
      <c r="K205" s="97"/>
      <c r="L205" s="97"/>
      <c r="M205" s="7"/>
      <c r="N205" s="7"/>
      <c r="O205" s="7"/>
      <c r="P205" s="7"/>
      <c r="Q205" s="7"/>
      <c r="R205" s="7"/>
      <c r="S205" s="7"/>
      <c r="T205" s="7"/>
      <c r="U205" s="7"/>
      <c r="V205" s="7"/>
      <c r="W205" s="7"/>
    </row>
    <row r="206" spans="1:23" ht="15.75" customHeight="1" x14ac:dyDescent="0.2">
      <c r="A206" s="7"/>
      <c r="B206" s="55"/>
      <c r="C206" s="7"/>
      <c r="D206" s="7"/>
      <c r="E206" s="7"/>
      <c r="F206" s="7"/>
      <c r="G206" s="7"/>
      <c r="H206" s="55"/>
      <c r="I206" s="97"/>
      <c r="J206" s="97"/>
      <c r="K206" s="97"/>
      <c r="L206" s="97"/>
      <c r="M206" s="7"/>
      <c r="N206" s="7"/>
      <c r="O206" s="7"/>
      <c r="P206" s="7"/>
      <c r="Q206" s="7"/>
      <c r="R206" s="7"/>
      <c r="S206" s="7"/>
      <c r="T206" s="7"/>
      <c r="U206" s="7"/>
      <c r="V206" s="7"/>
      <c r="W206" s="7"/>
    </row>
    <row r="207" spans="1:23" ht="15.75" customHeight="1" x14ac:dyDescent="0.2">
      <c r="A207" s="7"/>
      <c r="B207" s="55"/>
      <c r="C207" s="7"/>
      <c r="D207" s="7"/>
      <c r="E207" s="7"/>
      <c r="F207" s="7"/>
      <c r="G207" s="7"/>
      <c r="H207" s="55"/>
      <c r="I207" s="97"/>
      <c r="J207" s="97"/>
      <c r="K207" s="97"/>
      <c r="L207" s="97"/>
      <c r="M207" s="7"/>
      <c r="N207" s="7"/>
      <c r="O207" s="7"/>
      <c r="P207" s="7"/>
      <c r="Q207" s="7"/>
      <c r="R207" s="7"/>
      <c r="S207" s="7"/>
      <c r="T207" s="7"/>
      <c r="U207" s="7"/>
      <c r="V207" s="7"/>
      <c r="W207" s="7"/>
    </row>
    <row r="208" spans="1:23" ht="15.75" customHeight="1" x14ac:dyDescent="0.2">
      <c r="A208" s="7"/>
      <c r="B208" s="55"/>
      <c r="C208" s="7"/>
      <c r="D208" s="7"/>
      <c r="E208" s="7"/>
      <c r="F208" s="7"/>
      <c r="G208" s="7"/>
      <c r="H208" s="55"/>
      <c r="I208" s="97"/>
      <c r="J208" s="97"/>
      <c r="K208" s="97"/>
      <c r="L208" s="97"/>
      <c r="M208" s="7"/>
      <c r="N208" s="7"/>
      <c r="O208" s="7"/>
      <c r="P208" s="7"/>
      <c r="Q208" s="7"/>
      <c r="R208" s="7"/>
      <c r="S208" s="7"/>
      <c r="T208" s="7"/>
      <c r="U208" s="7"/>
      <c r="V208" s="7"/>
      <c r="W208" s="7"/>
    </row>
    <row r="209" spans="1:23" ht="15.75" customHeight="1" x14ac:dyDescent="0.2">
      <c r="A209" s="7"/>
      <c r="B209" s="55"/>
      <c r="C209" s="7"/>
      <c r="D209" s="7"/>
      <c r="E209" s="7"/>
      <c r="F209" s="7"/>
      <c r="G209" s="7"/>
      <c r="H209" s="55"/>
      <c r="I209" s="97"/>
      <c r="J209" s="97"/>
      <c r="K209" s="97"/>
      <c r="L209" s="97"/>
      <c r="M209" s="7"/>
      <c r="N209" s="7"/>
      <c r="O209" s="7"/>
      <c r="P209" s="7"/>
      <c r="Q209" s="7"/>
      <c r="R209" s="7"/>
      <c r="S209" s="7"/>
      <c r="T209" s="7"/>
      <c r="U209" s="7"/>
      <c r="V209" s="7"/>
      <c r="W209" s="7"/>
    </row>
    <row r="210" spans="1:23" ht="15.75" customHeight="1" x14ac:dyDescent="0.2">
      <c r="A210" s="7"/>
      <c r="B210" s="55"/>
      <c r="C210" s="7"/>
      <c r="D210" s="7"/>
      <c r="E210" s="7"/>
      <c r="F210" s="7"/>
      <c r="G210" s="7"/>
      <c r="H210" s="55"/>
      <c r="I210" s="97"/>
      <c r="J210" s="97"/>
      <c r="K210" s="97"/>
      <c r="L210" s="97"/>
      <c r="M210" s="7"/>
      <c r="N210" s="7"/>
      <c r="O210" s="7"/>
      <c r="P210" s="7"/>
      <c r="Q210" s="7"/>
      <c r="R210" s="7"/>
      <c r="S210" s="7"/>
      <c r="T210" s="7"/>
      <c r="U210" s="7"/>
      <c r="V210" s="7"/>
      <c r="W210" s="7"/>
    </row>
    <row r="211" spans="1:23" ht="15.75" customHeight="1" x14ac:dyDescent="0.2">
      <c r="A211" s="7"/>
      <c r="B211" s="55"/>
      <c r="C211" s="7"/>
      <c r="D211" s="7"/>
      <c r="E211" s="7"/>
      <c r="F211" s="7"/>
      <c r="G211" s="7"/>
      <c r="H211" s="55"/>
      <c r="I211" s="97"/>
      <c r="J211" s="97"/>
      <c r="K211" s="97"/>
      <c r="L211" s="97"/>
      <c r="M211" s="7"/>
      <c r="N211" s="7"/>
      <c r="O211" s="7"/>
      <c r="P211" s="7"/>
      <c r="Q211" s="7"/>
      <c r="R211" s="7"/>
      <c r="S211" s="7"/>
      <c r="T211" s="7"/>
      <c r="U211" s="7"/>
      <c r="V211" s="7"/>
      <c r="W211" s="7"/>
    </row>
    <row r="212" spans="1:23" ht="15.75" customHeight="1" x14ac:dyDescent="0.2">
      <c r="A212" s="7"/>
      <c r="B212" s="55"/>
      <c r="C212" s="7"/>
      <c r="D212" s="7"/>
      <c r="E212" s="7"/>
      <c r="F212" s="7"/>
      <c r="G212" s="7"/>
      <c r="H212" s="55"/>
      <c r="I212" s="97"/>
      <c r="J212" s="97"/>
      <c r="K212" s="97"/>
      <c r="L212" s="97"/>
      <c r="M212" s="7"/>
      <c r="N212" s="7"/>
      <c r="O212" s="7"/>
      <c r="P212" s="7"/>
      <c r="Q212" s="7"/>
      <c r="R212" s="7"/>
      <c r="S212" s="7"/>
      <c r="T212" s="7"/>
      <c r="U212" s="7"/>
      <c r="V212" s="7"/>
      <c r="W212" s="7"/>
    </row>
    <row r="213" spans="1:23" ht="15.75" customHeight="1" x14ac:dyDescent="0.2">
      <c r="A213" s="7"/>
      <c r="B213" s="55"/>
      <c r="C213" s="7"/>
      <c r="D213" s="7"/>
      <c r="E213" s="7"/>
      <c r="F213" s="7"/>
      <c r="G213" s="7"/>
      <c r="H213" s="55"/>
      <c r="I213" s="97"/>
      <c r="J213" s="97"/>
      <c r="K213" s="97"/>
      <c r="L213" s="97"/>
      <c r="M213" s="7"/>
      <c r="N213" s="7"/>
      <c r="O213" s="7"/>
      <c r="P213" s="7"/>
      <c r="Q213" s="7"/>
      <c r="R213" s="7"/>
      <c r="S213" s="7"/>
      <c r="T213" s="7"/>
      <c r="U213" s="7"/>
      <c r="V213" s="7"/>
      <c r="W213" s="7"/>
    </row>
    <row r="214" spans="1:23" ht="15.75" customHeight="1" x14ac:dyDescent="0.2">
      <c r="A214" s="7"/>
      <c r="B214" s="55"/>
      <c r="C214" s="7"/>
      <c r="D214" s="7"/>
      <c r="E214" s="7"/>
      <c r="F214" s="7"/>
      <c r="G214" s="7"/>
      <c r="H214" s="55"/>
      <c r="I214" s="97"/>
      <c r="J214" s="97"/>
      <c r="K214" s="97"/>
      <c r="L214" s="97"/>
      <c r="M214" s="7"/>
      <c r="N214" s="7"/>
      <c r="O214" s="7"/>
      <c r="P214" s="7"/>
      <c r="Q214" s="7"/>
      <c r="R214" s="7"/>
      <c r="S214" s="7"/>
      <c r="T214" s="7"/>
      <c r="U214" s="7"/>
      <c r="V214" s="7"/>
      <c r="W214" s="7"/>
    </row>
    <row r="215" spans="1:23" ht="15.75" customHeight="1" x14ac:dyDescent="0.2">
      <c r="A215" s="7"/>
      <c r="B215" s="55"/>
      <c r="C215" s="7"/>
      <c r="D215" s="7"/>
      <c r="E215" s="7"/>
      <c r="F215" s="7"/>
      <c r="G215" s="7"/>
      <c r="H215" s="55"/>
      <c r="I215" s="97"/>
      <c r="J215" s="97"/>
      <c r="K215" s="97"/>
      <c r="L215" s="97"/>
      <c r="M215" s="7"/>
      <c r="N215" s="7"/>
      <c r="O215" s="7"/>
      <c r="P215" s="7"/>
      <c r="Q215" s="7"/>
      <c r="R215" s="7"/>
      <c r="S215" s="7"/>
      <c r="T215" s="7"/>
      <c r="U215" s="7"/>
      <c r="V215" s="7"/>
      <c r="W215" s="7"/>
    </row>
    <row r="216" spans="1:23" ht="15.75" customHeight="1" x14ac:dyDescent="0.2">
      <c r="A216" s="7"/>
      <c r="B216" s="55"/>
      <c r="C216" s="7"/>
      <c r="D216" s="7"/>
      <c r="E216" s="7"/>
      <c r="F216" s="7"/>
      <c r="G216" s="7"/>
      <c r="H216" s="55"/>
      <c r="I216" s="97"/>
      <c r="J216" s="97"/>
      <c r="K216" s="97"/>
      <c r="L216" s="97"/>
      <c r="M216" s="7"/>
      <c r="N216" s="7"/>
      <c r="O216" s="7"/>
      <c r="P216" s="7"/>
      <c r="Q216" s="7"/>
      <c r="R216" s="7"/>
      <c r="S216" s="7"/>
      <c r="T216" s="7"/>
      <c r="U216" s="7"/>
      <c r="V216" s="7"/>
      <c r="W216" s="7"/>
    </row>
    <row r="217" spans="1:23" ht="15.75" customHeight="1" x14ac:dyDescent="0.2">
      <c r="A217" s="7"/>
      <c r="B217" s="55"/>
      <c r="C217" s="7"/>
      <c r="D217" s="7"/>
      <c r="E217" s="7"/>
      <c r="F217" s="7"/>
      <c r="G217" s="7"/>
      <c r="H217" s="55"/>
      <c r="I217" s="97"/>
      <c r="J217" s="97"/>
      <c r="K217" s="97"/>
      <c r="L217" s="97"/>
      <c r="M217" s="7"/>
      <c r="N217" s="7"/>
      <c r="O217" s="7"/>
      <c r="P217" s="7"/>
      <c r="Q217" s="7"/>
      <c r="R217" s="7"/>
      <c r="S217" s="7"/>
      <c r="T217" s="7"/>
      <c r="U217" s="7"/>
      <c r="V217" s="7"/>
      <c r="W217" s="7"/>
    </row>
    <row r="218" spans="1:23" ht="15.75" customHeight="1" x14ac:dyDescent="0.2">
      <c r="A218" s="7"/>
      <c r="B218" s="55"/>
      <c r="C218" s="7"/>
      <c r="D218" s="7"/>
      <c r="E218" s="7"/>
      <c r="F218" s="7"/>
      <c r="G218" s="7"/>
      <c r="H218" s="55"/>
      <c r="I218" s="97"/>
      <c r="J218" s="97"/>
      <c r="K218" s="97"/>
      <c r="L218" s="97"/>
      <c r="M218" s="7"/>
      <c r="N218" s="7"/>
      <c r="O218" s="7"/>
      <c r="P218" s="7"/>
      <c r="Q218" s="7"/>
      <c r="R218" s="7"/>
      <c r="S218" s="7"/>
      <c r="T218" s="7"/>
      <c r="U218" s="7"/>
      <c r="V218" s="7"/>
      <c r="W218" s="7"/>
    </row>
    <row r="219" spans="1:23" ht="15.75" customHeight="1" x14ac:dyDescent="0.2">
      <c r="A219" s="7"/>
      <c r="B219" s="55"/>
      <c r="C219" s="7"/>
      <c r="D219" s="7"/>
      <c r="E219" s="7"/>
      <c r="F219" s="7"/>
      <c r="G219" s="7"/>
      <c r="H219" s="55"/>
      <c r="I219" s="97"/>
      <c r="J219" s="97"/>
      <c r="K219" s="97"/>
      <c r="L219" s="97"/>
      <c r="M219" s="7"/>
      <c r="N219" s="7"/>
      <c r="O219" s="7"/>
      <c r="P219" s="7"/>
      <c r="Q219" s="7"/>
      <c r="R219" s="7"/>
      <c r="S219" s="7"/>
      <c r="T219" s="7"/>
      <c r="U219" s="7"/>
      <c r="V219" s="7"/>
      <c r="W219" s="7"/>
    </row>
    <row r="220" spans="1:23" ht="15.75" customHeight="1" x14ac:dyDescent="0.2">
      <c r="A220" s="7"/>
      <c r="B220" s="55"/>
      <c r="C220" s="7"/>
      <c r="D220" s="7"/>
      <c r="E220" s="7"/>
      <c r="F220" s="7"/>
      <c r="G220" s="7"/>
      <c r="H220" s="55"/>
      <c r="I220" s="97"/>
      <c r="J220" s="97"/>
      <c r="K220" s="97"/>
      <c r="L220" s="97"/>
      <c r="M220" s="7"/>
      <c r="N220" s="7"/>
      <c r="O220" s="7"/>
      <c r="P220" s="7"/>
      <c r="Q220" s="7"/>
      <c r="R220" s="7"/>
      <c r="S220" s="7"/>
      <c r="T220" s="7"/>
      <c r="U220" s="7"/>
      <c r="V220" s="7"/>
      <c r="W220" s="7"/>
    </row>
    <row r="221" spans="1:23" ht="15.75" customHeight="1" x14ac:dyDescent="0.2">
      <c r="A221" s="7"/>
      <c r="B221" s="55"/>
      <c r="C221" s="7"/>
      <c r="D221" s="7"/>
      <c r="E221" s="7"/>
      <c r="F221" s="7"/>
      <c r="G221" s="7"/>
      <c r="H221" s="55"/>
      <c r="I221" s="97"/>
      <c r="J221" s="97"/>
      <c r="K221" s="97"/>
      <c r="L221" s="97"/>
      <c r="M221" s="7"/>
      <c r="N221" s="7"/>
      <c r="O221" s="7"/>
      <c r="P221" s="7"/>
      <c r="Q221" s="7"/>
      <c r="R221" s="7"/>
      <c r="S221" s="7"/>
      <c r="T221" s="7"/>
      <c r="U221" s="7"/>
      <c r="V221" s="7"/>
      <c r="W221" s="7"/>
    </row>
    <row r="222" spans="1:23" ht="15.75" customHeight="1" x14ac:dyDescent="0.2">
      <c r="A222" s="7"/>
      <c r="B222" s="55"/>
      <c r="C222" s="7"/>
      <c r="D222" s="7"/>
      <c r="E222" s="7"/>
      <c r="F222" s="7"/>
      <c r="G222" s="7"/>
      <c r="H222" s="55"/>
      <c r="I222" s="97"/>
      <c r="J222" s="97"/>
      <c r="K222" s="97"/>
      <c r="L222" s="97"/>
      <c r="M222" s="7"/>
      <c r="N222" s="7"/>
      <c r="O222" s="7"/>
      <c r="P222" s="7"/>
      <c r="Q222" s="7"/>
      <c r="R222" s="7"/>
      <c r="S222" s="7"/>
      <c r="T222" s="7"/>
      <c r="U222" s="7"/>
      <c r="V222" s="7"/>
      <c r="W222" s="7"/>
    </row>
    <row r="223" spans="1:23" ht="15.75" customHeight="1" x14ac:dyDescent="0.2">
      <c r="A223" s="7"/>
      <c r="B223" s="55"/>
      <c r="C223" s="7"/>
      <c r="D223" s="7"/>
      <c r="E223" s="7"/>
      <c r="F223" s="7"/>
      <c r="G223" s="7"/>
      <c r="H223" s="55"/>
      <c r="I223" s="97"/>
      <c r="J223" s="97"/>
      <c r="K223" s="97"/>
      <c r="L223" s="97"/>
      <c r="M223" s="7"/>
      <c r="N223" s="7"/>
      <c r="O223" s="7"/>
      <c r="P223" s="7"/>
      <c r="Q223" s="7"/>
      <c r="R223" s="7"/>
      <c r="S223" s="7"/>
      <c r="T223" s="7"/>
      <c r="U223" s="7"/>
      <c r="V223" s="7"/>
      <c r="W223" s="7"/>
    </row>
    <row r="224" spans="1:23" ht="15.75" customHeight="1" x14ac:dyDescent="0.2">
      <c r="A224" s="7"/>
      <c r="B224" s="55"/>
      <c r="C224" s="7"/>
      <c r="D224" s="7"/>
      <c r="E224" s="7"/>
      <c r="F224" s="7"/>
      <c r="G224" s="7"/>
      <c r="H224" s="55"/>
      <c r="I224" s="97"/>
      <c r="J224" s="97"/>
      <c r="K224" s="97"/>
      <c r="L224" s="97"/>
      <c r="M224" s="7"/>
      <c r="N224" s="7"/>
      <c r="O224" s="7"/>
      <c r="P224" s="7"/>
      <c r="Q224" s="7"/>
      <c r="R224" s="7"/>
      <c r="S224" s="7"/>
      <c r="T224" s="7"/>
      <c r="U224" s="7"/>
      <c r="V224" s="7"/>
      <c r="W224" s="7"/>
    </row>
    <row r="225" spans="1:23" ht="15.75" customHeight="1" x14ac:dyDescent="0.2">
      <c r="A225" s="7"/>
      <c r="B225" s="55"/>
      <c r="C225" s="7"/>
      <c r="D225" s="7"/>
      <c r="E225" s="7"/>
      <c r="F225" s="7"/>
      <c r="G225" s="7"/>
      <c r="H225" s="55"/>
      <c r="I225" s="97"/>
      <c r="J225" s="97"/>
      <c r="K225" s="97"/>
      <c r="L225" s="97"/>
      <c r="M225" s="7"/>
      <c r="N225" s="7"/>
      <c r="O225" s="7"/>
      <c r="P225" s="7"/>
      <c r="Q225" s="7"/>
      <c r="R225" s="7"/>
      <c r="S225" s="7"/>
      <c r="T225" s="7"/>
      <c r="U225" s="7"/>
      <c r="V225" s="7"/>
      <c r="W225" s="7"/>
    </row>
    <row r="226" spans="1:23" ht="15.75" customHeight="1" x14ac:dyDescent="0.2">
      <c r="A226" s="7"/>
      <c r="B226" s="55"/>
      <c r="C226" s="7"/>
      <c r="D226" s="7"/>
      <c r="E226" s="7"/>
      <c r="F226" s="7"/>
      <c r="G226" s="7"/>
      <c r="H226" s="55"/>
      <c r="I226" s="97"/>
      <c r="J226" s="97"/>
      <c r="K226" s="97"/>
      <c r="L226" s="97"/>
      <c r="M226" s="7"/>
      <c r="N226" s="7"/>
      <c r="O226" s="7"/>
      <c r="P226" s="7"/>
      <c r="Q226" s="7"/>
      <c r="R226" s="7"/>
      <c r="S226" s="7"/>
      <c r="T226" s="7"/>
      <c r="U226" s="7"/>
      <c r="V226" s="7"/>
      <c r="W226" s="7"/>
    </row>
    <row r="227" spans="1:23" ht="15.75" customHeight="1" x14ac:dyDescent="0.2">
      <c r="A227" s="7"/>
      <c r="B227" s="55"/>
      <c r="C227" s="7"/>
      <c r="D227" s="7"/>
      <c r="E227" s="7"/>
      <c r="F227" s="7"/>
      <c r="G227" s="7"/>
      <c r="H227" s="55"/>
      <c r="I227" s="97"/>
      <c r="J227" s="97"/>
      <c r="K227" s="97"/>
      <c r="L227" s="97"/>
      <c r="M227" s="7"/>
      <c r="N227" s="7"/>
      <c r="O227" s="7"/>
      <c r="P227" s="7"/>
      <c r="Q227" s="7"/>
      <c r="R227" s="7"/>
      <c r="S227" s="7"/>
      <c r="T227" s="7"/>
      <c r="U227" s="7"/>
      <c r="V227" s="7"/>
      <c r="W227" s="7"/>
    </row>
    <row r="228" spans="1:23" ht="15.75" customHeight="1" x14ac:dyDescent="0.2">
      <c r="A228" s="7"/>
      <c r="B228" s="55"/>
      <c r="C228" s="7"/>
      <c r="D228" s="7"/>
      <c r="E228" s="7"/>
      <c r="F228" s="7"/>
      <c r="G228" s="7"/>
      <c r="H228" s="55"/>
      <c r="I228" s="97"/>
      <c r="J228" s="97"/>
      <c r="K228" s="97"/>
      <c r="L228" s="97"/>
      <c r="M228" s="7"/>
      <c r="N228" s="7"/>
      <c r="O228" s="7"/>
      <c r="P228" s="7"/>
      <c r="Q228" s="7"/>
      <c r="R228" s="7"/>
      <c r="S228" s="7"/>
      <c r="T228" s="7"/>
      <c r="U228" s="7"/>
      <c r="V228" s="7"/>
      <c r="W228" s="7"/>
    </row>
    <row r="229" spans="1:23" ht="15.75" customHeight="1" x14ac:dyDescent="0.2">
      <c r="A229" s="7"/>
      <c r="B229" s="55"/>
      <c r="C229" s="7"/>
      <c r="D229" s="7"/>
      <c r="E229" s="7"/>
      <c r="F229" s="7"/>
      <c r="G229" s="7"/>
      <c r="H229" s="55"/>
      <c r="I229" s="97"/>
      <c r="J229" s="97"/>
      <c r="K229" s="97"/>
      <c r="L229" s="97"/>
      <c r="M229" s="7"/>
      <c r="N229" s="7"/>
      <c r="O229" s="7"/>
      <c r="P229" s="7"/>
      <c r="Q229" s="7"/>
      <c r="R229" s="7"/>
      <c r="S229" s="7"/>
      <c r="T229" s="7"/>
      <c r="U229" s="7"/>
      <c r="V229" s="7"/>
      <c r="W229" s="7"/>
    </row>
    <row r="230" spans="1:23" ht="15.75" customHeight="1" x14ac:dyDescent="0.2">
      <c r="A230" s="7"/>
      <c r="B230" s="55"/>
      <c r="C230" s="7"/>
      <c r="D230" s="7"/>
      <c r="E230" s="7"/>
      <c r="F230" s="7"/>
      <c r="G230" s="7"/>
      <c r="H230" s="55"/>
      <c r="I230" s="97"/>
      <c r="J230" s="97"/>
      <c r="K230" s="97"/>
      <c r="L230" s="97"/>
      <c r="M230" s="7"/>
      <c r="N230" s="7"/>
      <c r="O230" s="7"/>
      <c r="P230" s="7"/>
      <c r="Q230" s="7"/>
      <c r="R230" s="7"/>
      <c r="S230" s="7"/>
      <c r="T230" s="7"/>
      <c r="U230" s="7"/>
      <c r="V230" s="7"/>
      <c r="W230" s="7"/>
    </row>
    <row r="231" spans="1:23" ht="15.75" customHeight="1" x14ac:dyDescent="0.2">
      <c r="A231" s="7"/>
      <c r="B231" s="55"/>
      <c r="C231" s="7"/>
      <c r="D231" s="7"/>
      <c r="E231" s="7"/>
      <c r="F231" s="7"/>
      <c r="G231" s="7"/>
      <c r="H231" s="55"/>
      <c r="I231" s="97"/>
      <c r="J231" s="97"/>
      <c r="K231" s="97"/>
      <c r="L231" s="97"/>
      <c r="M231" s="7"/>
      <c r="N231" s="7"/>
      <c r="O231" s="7"/>
      <c r="P231" s="7"/>
      <c r="Q231" s="7"/>
      <c r="R231" s="7"/>
      <c r="S231" s="7"/>
      <c r="T231" s="7"/>
      <c r="U231" s="7"/>
      <c r="V231" s="7"/>
      <c r="W231" s="7"/>
    </row>
    <row r="232" spans="1:23" ht="15.75" customHeight="1" x14ac:dyDescent="0.2">
      <c r="A232" s="7"/>
      <c r="B232" s="55"/>
      <c r="C232" s="7"/>
      <c r="D232" s="7"/>
      <c r="E232" s="7"/>
      <c r="F232" s="7"/>
      <c r="G232" s="7"/>
      <c r="H232" s="55"/>
      <c r="I232" s="97"/>
      <c r="J232" s="97"/>
      <c r="K232" s="97"/>
      <c r="L232" s="97"/>
      <c r="M232" s="7"/>
      <c r="N232" s="7"/>
      <c r="O232" s="7"/>
      <c r="P232" s="7"/>
      <c r="Q232" s="7"/>
      <c r="R232" s="7"/>
      <c r="S232" s="7"/>
      <c r="T232" s="7"/>
      <c r="U232" s="7"/>
      <c r="V232" s="7"/>
      <c r="W232" s="7"/>
    </row>
    <row r="233" spans="1:23" ht="15.75" customHeight="1" x14ac:dyDescent="0.2">
      <c r="A233" s="7"/>
      <c r="B233" s="55"/>
      <c r="C233" s="7"/>
      <c r="D233" s="7"/>
      <c r="E233" s="7"/>
      <c r="F233" s="7"/>
      <c r="G233" s="7"/>
      <c r="H233" s="55"/>
      <c r="I233" s="97"/>
      <c r="J233" s="97"/>
      <c r="K233" s="97"/>
      <c r="L233" s="97"/>
      <c r="M233" s="7"/>
      <c r="N233" s="7"/>
      <c r="O233" s="7"/>
      <c r="P233" s="7"/>
      <c r="Q233" s="7"/>
      <c r="R233" s="7"/>
      <c r="S233" s="7"/>
      <c r="T233" s="7"/>
      <c r="U233" s="7"/>
      <c r="V233" s="7"/>
      <c r="W233" s="7"/>
    </row>
    <row r="234" spans="1:23" ht="15.75" customHeight="1" x14ac:dyDescent="0.2">
      <c r="A234" s="7"/>
      <c r="B234" s="55"/>
      <c r="C234" s="7"/>
      <c r="D234" s="7"/>
      <c r="E234" s="7"/>
      <c r="F234" s="7"/>
      <c r="G234" s="7"/>
      <c r="H234" s="55"/>
      <c r="I234" s="97"/>
      <c r="J234" s="97"/>
      <c r="K234" s="97"/>
      <c r="L234" s="97"/>
      <c r="M234" s="7"/>
      <c r="N234" s="7"/>
      <c r="O234" s="7"/>
      <c r="P234" s="7"/>
      <c r="Q234" s="7"/>
      <c r="R234" s="7"/>
      <c r="S234" s="7"/>
      <c r="T234" s="7"/>
      <c r="U234" s="7"/>
      <c r="V234" s="7"/>
      <c r="W234" s="7"/>
    </row>
    <row r="235" spans="1:23" ht="15.75" customHeight="1" x14ac:dyDescent="0.2">
      <c r="A235" s="7"/>
      <c r="B235" s="55"/>
      <c r="C235" s="7"/>
      <c r="D235" s="7"/>
      <c r="E235" s="7"/>
      <c r="F235" s="7"/>
      <c r="G235" s="7"/>
      <c r="H235" s="55"/>
      <c r="I235" s="97"/>
      <c r="J235" s="97"/>
      <c r="K235" s="97"/>
      <c r="L235" s="97"/>
      <c r="M235" s="7"/>
      <c r="N235" s="7"/>
      <c r="O235" s="7"/>
      <c r="P235" s="7"/>
      <c r="Q235" s="7"/>
      <c r="R235" s="7"/>
      <c r="S235" s="7"/>
      <c r="T235" s="7"/>
      <c r="U235" s="7"/>
      <c r="V235" s="7"/>
      <c r="W235" s="7"/>
    </row>
    <row r="236" spans="1:23" ht="15.75" customHeight="1" x14ac:dyDescent="0.2">
      <c r="A236" s="7"/>
      <c r="B236" s="55"/>
      <c r="C236" s="7"/>
      <c r="D236" s="7"/>
      <c r="E236" s="7"/>
      <c r="F236" s="7"/>
      <c r="G236" s="7"/>
      <c r="H236" s="55"/>
      <c r="I236" s="97"/>
      <c r="J236" s="97"/>
      <c r="K236" s="97"/>
      <c r="L236" s="97"/>
      <c r="M236" s="7"/>
      <c r="N236" s="7"/>
      <c r="O236" s="7"/>
      <c r="P236" s="7"/>
      <c r="Q236" s="7"/>
      <c r="R236" s="7"/>
      <c r="S236" s="7"/>
      <c r="T236" s="7"/>
      <c r="U236" s="7"/>
      <c r="V236" s="7"/>
      <c r="W236" s="7"/>
    </row>
    <row r="237" spans="1:23" ht="15.75" customHeight="1" x14ac:dyDescent="0.2">
      <c r="A237" s="7"/>
      <c r="B237" s="55"/>
      <c r="C237" s="7"/>
      <c r="D237" s="7"/>
      <c r="E237" s="7"/>
      <c r="F237" s="7"/>
      <c r="G237" s="7"/>
      <c r="H237" s="55"/>
      <c r="I237" s="97"/>
      <c r="J237" s="97"/>
      <c r="K237" s="97"/>
      <c r="L237" s="97"/>
      <c r="M237" s="7"/>
      <c r="N237" s="7"/>
      <c r="O237" s="7"/>
      <c r="P237" s="7"/>
      <c r="Q237" s="7"/>
      <c r="R237" s="7"/>
      <c r="S237" s="7"/>
      <c r="T237" s="7"/>
      <c r="U237" s="7"/>
      <c r="V237" s="7"/>
      <c r="W237" s="7"/>
    </row>
    <row r="238" spans="1:23" ht="15.75" customHeight="1" x14ac:dyDescent="0.2">
      <c r="A238" s="7"/>
      <c r="B238" s="55"/>
      <c r="C238" s="7"/>
      <c r="D238" s="7"/>
      <c r="E238" s="7"/>
      <c r="F238" s="7"/>
      <c r="G238" s="7"/>
      <c r="H238" s="55"/>
      <c r="I238" s="97"/>
      <c r="J238" s="97"/>
      <c r="K238" s="97"/>
      <c r="L238" s="97"/>
      <c r="M238" s="7"/>
      <c r="N238" s="7"/>
      <c r="O238" s="7"/>
      <c r="P238" s="7"/>
      <c r="Q238" s="7"/>
      <c r="R238" s="7"/>
      <c r="S238" s="7"/>
      <c r="T238" s="7"/>
      <c r="U238" s="7"/>
      <c r="V238" s="7"/>
      <c r="W238" s="7"/>
    </row>
    <row r="239" spans="1:23" ht="15.75" customHeight="1" x14ac:dyDescent="0.2">
      <c r="A239" s="7"/>
      <c r="B239" s="55"/>
      <c r="C239" s="7"/>
      <c r="D239" s="7"/>
      <c r="E239" s="7"/>
      <c r="F239" s="7"/>
      <c r="G239" s="7"/>
      <c r="H239" s="55"/>
      <c r="I239" s="97"/>
      <c r="J239" s="97"/>
      <c r="K239" s="97"/>
      <c r="L239" s="97"/>
      <c r="M239" s="7"/>
      <c r="N239" s="7"/>
      <c r="O239" s="7"/>
      <c r="P239" s="7"/>
      <c r="Q239" s="7"/>
      <c r="R239" s="7"/>
      <c r="S239" s="7"/>
      <c r="T239" s="7"/>
      <c r="U239" s="7"/>
      <c r="V239" s="7"/>
      <c r="W239" s="7"/>
    </row>
    <row r="240" spans="1:23" ht="15.75" customHeight="1" x14ac:dyDescent="0.2">
      <c r="A240" s="7"/>
      <c r="B240" s="55"/>
      <c r="C240" s="7"/>
      <c r="D240" s="7"/>
      <c r="E240" s="7"/>
      <c r="F240" s="7"/>
      <c r="G240" s="7"/>
      <c r="H240" s="55"/>
      <c r="I240" s="97"/>
      <c r="J240" s="97"/>
      <c r="K240" s="97"/>
      <c r="L240" s="97"/>
      <c r="M240" s="7"/>
      <c r="N240" s="7"/>
      <c r="O240" s="7"/>
      <c r="P240" s="7"/>
      <c r="Q240" s="7"/>
      <c r="R240" s="7"/>
      <c r="S240" s="7"/>
      <c r="T240" s="7"/>
      <c r="U240" s="7"/>
      <c r="V240" s="7"/>
      <c r="W240" s="7"/>
    </row>
    <row r="241" spans="1:23" ht="15.75" customHeight="1" x14ac:dyDescent="0.2">
      <c r="A241" s="7"/>
      <c r="B241" s="55"/>
      <c r="C241" s="7"/>
      <c r="D241" s="7"/>
      <c r="E241" s="7"/>
      <c r="F241" s="7"/>
      <c r="G241" s="7"/>
      <c r="H241" s="55"/>
      <c r="I241" s="97"/>
      <c r="J241" s="97"/>
      <c r="K241" s="97"/>
      <c r="L241" s="97"/>
      <c r="M241" s="7"/>
      <c r="N241" s="7"/>
      <c r="O241" s="7"/>
      <c r="P241" s="7"/>
      <c r="Q241" s="7"/>
      <c r="R241" s="7"/>
      <c r="S241" s="7"/>
      <c r="T241" s="7"/>
      <c r="U241" s="7"/>
      <c r="V241" s="7"/>
      <c r="W241" s="7"/>
    </row>
    <row r="242" spans="1:23" ht="15.75" customHeight="1" x14ac:dyDescent="0.2">
      <c r="A242" s="7"/>
      <c r="B242" s="55"/>
      <c r="C242" s="7"/>
      <c r="D242" s="7"/>
      <c r="E242" s="7"/>
      <c r="F242" s="7"/>
      <c r="G242" s="7"/>
      <c r="H242" s="55"/>
      <c r="I242" s="97"/>
      <c r="J242" s="97"/>
      <c r="K242" s="97"/>
      <c r="L242" s="97"/>
      <c r="M242" s="7"/>
      <c r="N242" s="7"/>
      <c r="O242" s="7"/>
      <c r="P242" s="7"/>
      <c r="Q242" s="7"/>
      <c r="R242" s="7"/>
      <c r="S242" s="7"/>
      <c r="T242" s="7"/>
      <c r="U242" s="7"/>
      <c r="V242" s="7"/>
      <c r="W242" s="7"/>
    </row>
    <row r="243" spans="1:23" ht="15.75" customHeight="1" x14ac:dyDescent="0.2">
      <c r="A243" s="7"/>
      <c r="B243" s="55"/>
      <c r="C243" s="7"/>
      <c r="D243" s="7"/>
      <c r="E243" s="7"/>
      <c r="F243" s="7"/>
      <c r="G243" s="7"/>
      <c r="H243" s="55"/>
      <c r="I243" s="97"/>
      <c r="J243" s="97"/>
      <c r="K243" s="97"/>
      <c r="L243" s="97"/>
      <c r="M243" s="7"/>
      <c r="N243" s="7"/>
      <c r="O243" s="7"/>
      <c r="P243" s="7"/>
      <c r="Q243" s="7"/>
      <c r="R243" s="7"/>
      <c r="S243" s="7"/>
      <c r="T243" s="7"/>
      <c r="U243" s="7"/>
      <c r="V243" s="7"/>
      <c r="W243" s="7"/>
    </row>
    <row r="244" spans="1:23" ht="15.75" customHeight="1" x14ac:dyDescent="0.2">
      <c r="A244" s="7"/>
      <c r="B244" s="55"/>
      <c r="C244" s="7"/>
      <c r="D244" s="7"/>
      <c r="E244" s="7"/>
      <c r="F244" s="7"/>
      <c r="G244" s="7"/>
      <c r="H244" s="55"/>
      <c r="I244" s="97"/>
      <c r="J244" s="97"/>
      <c r="K244" s="97"/>
      <c r="L244" s="97"/>
      <c r="M244" s="7"/>
      <c r="N244" s="7"/>
      <c r="O244" s="7"/>
      <c r="P244" s="7"/>
      <c r="Q244" s="7"/>
      <c r="R244" s="7"/>
      <c r="S244" s="7"/>
      <c r="T244" s="7"/>
      <c r="U244" s="7"/>
      <c r="V244" s="7"/>
      <c r="W244" s="7"/>
    </row>
    <row r="245" spans="1:23" ht="15.75" customHeight="1" x14ac:dyDescent="0.2">
      <c r="A245" s="7"/>
      <c r="B245" s="55"/>
      <c r="C245" s="7"/>
      <c r="D245" s="7"/>
      <c r="E245" s="7"/>
      <c r="F245" s="7"/>
      <c r="G245" s="7"/>
      <c r="H245" s="55"/>
      <c r="I245" s="97"/>
      <c r="J245" s="97"/>
      <c r="K245" s="97"/>
      <c r="L245" s="97"/>
      <c r="M245" s="7"/>
      <c r="N245" s="7"/>
      <c r="O245" s="7"/>
      <c r="P245" s="7"/>
      <c r="Q245" s="7"/>
      <c r="R245" s="7"/>
      <c r="S245" s="7"/>
      <c r="T245" s="7"/>
      <c r="U245" s="7"/>
      <c r="V245" s="7"/>
      <c r="W245" s="7"/>
    </row>
    <row r="246" spans="1:23" ht="15.75" customHeight="1" x14ac:dyDescent="0.2">
      <c r="A246" s="7"/>
      <c r="B246" s="55"/>
      <c r="C246" s="7"/>
      <c r="D246" s="7"/>
      <c r="E246" s="7"/>
      <c r="F246" s="7"/>
      <c r="G246" s="7"/>
      <c r="H246" s="55"/>
      <c r="I246" s="97"/>
      <c r="J246" s="97"/>
      <c r="K246" s="97"/>
      <c r="L246" s="97"/>
      <c r="M246" s="7"/>
      <c r="N246" s="7"/>
      <c r="O246" s="7"/>
      <c r="P246" s="7"/>
      <c r="Q246" s="7"/>
      <c r="R246" s="7"/>
      <c r="S246" s="7"/>
      <c r="T246" s="7"/>
      <c r="U246" s="7"/>
      <c r="V246" s="7"/>
      <c r="W246" s="7"/>
    </row>
    <row r="247" spans="1:23" ht="15.75" customHeight="1" x14ac:dyDescent="0.2">
      <c r="A247" s="7"/>
      <c r="B247" s="55"/>
      <c r="C247" s="7"/>
      <c r="D247" s="7"/>
      <c r="E247" s="7"/>
      <c r="F247" s="7"/>
      <c r="G247" s="7"/>
      <c r="H247" s="55"/>
      <c r="I247" s="97"/>
      <c r="J247" s="97"/>
      <c r="K247" s="97"/>
      <c r="L247" s="97"/>
      <c r="M247" s="7"/>
      <c r="N247" s="7"/>
      <c r="O247" s="7"/>
      <c r="P247" s="7"/>
      <c r="Q247" s="7"/>
      <c r="R247" s="7"/>
      <c r="S247" s="7"/>
      <c r="T247" s="7"/>
      <c r="U247" s="7"/>
      <c r="V247" s="7"/>
      <c r="W247" s="7"/>
    </row>
    <row r="248" spans="1:23" ht="15.75" customHeight="1" x14ac:dyDescent="0.2">
      <c r="A248" s="7"/>
      <c r="B248" s="55"/>
      <c r="C248" s="7"/>
      <c r="D248" s="7"/>
      <c r="E248" s="7"/>
      <c r="F248" s="7"/>
      <c r="G248" s="7"/>
      <c r="H248" s="55"/>
      <c r="I248" s="97"/>
      <c r="J248" s="97"/>
      <c r="K248" s="97"/>
      <c r="L248" s="97"/>
      <c r="M248" s="7"/>
      <c r="N248" s="7"/>
      <c r="O248" s="7"/>
      <c r="P248" s="7"/>
      <c r="Q248" s="7"/>
      <c r="R248" s="7"/>
      <c r="S248" s="7"/>
      <c r="T248" s="7"/>
      <c r="U248" s="7"/>
      <c r="V248" s="7"/>
      <c r="W248" s="7"/>
    </row>
    <row r="249" spans="1:23" ht="15.75" customHeight="1" x14ac:dyDescent="0.2">
      <c r="A249" s="7"/>
      <c r="B249" s="55"/>
      <c r="C249" s="7"/>
      <c r="D249" s="7"/>
      <c r="E249" s="7"/>
      <c r="F249" s="7"/>
      <c r="G249" s="7"/>
      <c r="H249" s="55"/>
      <c r="I249" s="97"/>
      <c r="J249" s="97"/>
      <c r="K249" s="97"/>
      <c r="L249" s="97"/>
      <c r="M249" s="7"/>
      <c r="N249" s="7"/>
      <c r="O249" s="7"/>
      <c r="P249" s="7"/>
      <c r="Q249" s="7"/>
      <c r="R249" s="7"/>
      <c r="S249" s="7"/>
      <c r="T249" s="7"/>
      <c r="U249" s="7"/>
      <c r="V249" s="7"/>
      <c r="W249" s="7"/>
    </row>
    <row r="250" spans="1:23" ht="15.75" customHeight="1" x14ac:dyDescent="0.2">
      <c r="A250" s="7"/>
      <c r="B250" s="55"/>
      <c r="C250" s="7"/>
      <c r="D250" s="7"/>
      <c r="E250" s="7"/>
      <c r="F250" s="7"/>
      <c r="G250" s="7"/>
      <c r="H250" s="55"/>
      <c r="I250" s="97"/>
      <c r="J250" s="97"/>
      <c r="K250" s="97"/>
      <c r="L250" s="97"/>
      <c r="M250" s="7"/>
      <c r="N250" s="7"/>
      <c r="O250" s="7"/>
      <c r="P250" s="7"/>
      <c r="Q250" s="7"/>
      <c r="R250" s="7"/>
      <c r="S250" s="7"/>
      <c r="T250" s="7"/>
      <c r="U250" s="7"/>
      <c r="V250" s="7"/>
      <c r="W250" s="7"/>
    </row>
    <row r="251" spans="1:23" ht="15.75" customHeight="1" x14ac:dyDescent="0.2">
      <c r="A251" s="7"/>
      <c r="B251" s="55"/>
      <c r="C251" s="7"/>
      <c r="D251" s="7"/>
      <c r="E251" s="7"/>
      <c r="F251" s="7"/>
      <c r="G251" s="7"/>
      <c r="H251" s="55"/>
      <c r="I251" s="97"/>
      <c r="J251" s="97"/>
      <c r="K251" s="97"/>
      <c r="L251" s="97"/>
      <c r="M251" s="7"/>
      <c r="N251" s="7"/>
      <c r="O251" s="7"/>
      <c r="P251" s="7"/>
      <c r="Q251" s="7"/>
      <c r="R251" s="7"/>
      <c r="S251" s="7"/>
      <c r="T251" s="7"/>
      <c r="U251" s="7"/>
      <c r="V251" s="7"/>
      <c r="W251" s="7"/>
    </row>
    <row r="252" spans="1:23" ht="15.75" customHeight="1" x14ac:dyDescent="0.2">
      <c r="A252" s="7"/>
      <c r="B252" s="55"/>
      <c r="C252" s="7"/>
      <c r="D252" s="7"/>
      <c r="E252" s="7"/>
      <c r="F252" s="7"/>
      <c r="G252" s="7"/>
      <c r="H252" s="55"/>
      <c r="I252" s="97"/>
      <c r="J252" s="97"/>
      <c r="K252" s="97"/>
      <c r="L252" s="97"/>
      <c r="M252" s="7"/>
      <c r="N252" s="7"/>
      <c r="O252" s="7"/>
      <c r="P252" s="7"/>
      <c r="Q252" s="7"/>
      <c r="R252" s="7"/>
      <c r="S252" s="7"/>
      <c r="T252" s="7"/>
      <c r="U252" s="7"/>
      <c r="V252" s="7"/>
      <c r="W252" s="7"/>
    </row>
    <row r="253" spans="1:23" ht="15.75" customHeight="1" x14ac:dyDescent="0.2">
      <c r="A253" s="7"/>
      <c r="B253" s="55"/>
      <c r="C253" s="7"/>
      <c r="D253" s="7"/>
      <c r="E253" s="7"/>
      <c r="F253" s="7"/>
      <c r="G253" s="7"/>
      <c r="H253" s="55"/>
      <c r="I253" s="97"/>
      <c r="J253" s="97"/>
      <c r="K253" s="97"/>
      <c r="L253" s="97"/>
      <c r="M253" s="7"/>
      <c r="N253" s="7"/>
      <c r="O253" s="7"/>
      <c r="P253" s="7"/>
      <c r="Q253" s="7"/>
      <c r="R253" s="7"/>
      <c r="S253" s="7"/>
      <c r="T253" s="7"/>
      <c r="U253" s="7"/>
      <c r="V253" s="7"/>
      <c r="W253" s="7"/>
    </row>
    <row r="254" spans="1:23" ht="15.75" customHeight="1" x14ac:dyDescent="0.2">
      <c r="A254" s="7"/>
      <c r="B254" s="55"/>
      <c r="C254" s="7"/>
      <c r="D254" s="7"/>
      <c r="E254" s="7"/>
      <c r="F254" s="7"/>
      <c r="G254" s="7"/>
      <c r="H254" s="55"/>
      <c r="I254" s="97"/>
      <c r="J254" s="97"/>
      <c r="K254" s="97"/>
      <c r="L254" s="97"/>
      <c r="M254" s="7"/>
      <c r="N254" s="7"/>
      <c r="O254" s="7"/>
      <c r="P254" s="7"/>
      <c r="Q254" s="7"/>
      <c r="R254" s="7"/>
      <c r="S254" s="7"/>
      <c r="T254" s="7"/>
      <c r="U254" s="7"/>
      <c r="V254" s="7"/>
      <c r="W254" s="7"/>
    </row>
    <row r="255" spans="1:23" ht="15.75" customHeight="1" x14ac:dyDescent="0.2">
      <c r="A255" s="7"/>
      <c r="B255" s="55"/>
      <c r="C255" s="7"/>
      <c r="D255" s="7"/>
      <c r="E255" s="7"/>
      <c r="F255" s="7"/>
      <c r="G255" s="7"/>
      <c r="H255" s="55"/>
      <c r="I255" s="97"/>
      <c r="J255" s="97"/>
      <c r="K255" s="97"/>
      <c r="L255" s="97"/>
      <c r="M255" s="7"/>
      <c r="N255" s="7"/>
      <c r="O255" s="7"/>
      <c r="P255" s="7"/>
      <c r="Q255" s="7"/>
      <c r="R255" s="7"/>
      <c r="S255" s="7"/>
      <c r="T255" s="7"/>
      <c r="U255" s="7"/>
      <c r="V255" s="7"/>
      <c r="W255" s="7"/>
    </row>
    <row r="256" spans="1:23" ht="15.75" customHeight="1" x14ac:dyDescent="0.2">
      <c r="A256" s="7"/>
      <c r="B256" s="55"/>
      <c r="C256" s="7"/>
      <c r="D256" s="7"/>
      <c r="E256" s="7"/>
      <c r="F256" s="7"/>
      <c r="G256" s="7"/>
      <c r="H256" s="55"/>
      <c r="I256" s="97"/>
      <c r="J256" s="97"/>
      <c r="K256" s="97"/>
      <c r="L256" s="97"/>
      <c r="M256" s="7"/>
      <c r="N256" s="7"/>
      <c r="O256" s="7"/>
      <c r="P256" s="7"/>
      <c r="Q256" s="7"/>
      <c r="R256" s="7"/>
      <c r="S256" s="7"/>
      <c r="T256" s="7"/>
      <c r="U256" s="7"/>
      <c r="V256" s="7"/>
      <c r="W256" s="7"/>
    </row>
    <row r="257" spans="1:23" ht="15.75" customHeight="1" x14ac:dyDescent="0.2">
      <c r="A257" s="7"/>
      <c r="B257" s="55"/>
      <c r="C257" s="7"/>
      <c r="D257" s="7"/>
      <c r="E257" s="7"/>
      <c r="F257" s="7"/>
      <c r="G257" s="7"/>
      <c r="H257" s="55"/>
      <c r="I257" s="97"/>
      <c r="J257" s="97"/>
      <c r="K257" s="97"/>
      <c r="L257" s="97"/>
      <c r="M257" s="7"/>
      <c r="N257" s="7"/>
      <c r="O257" s="7"/>
      <c r="P257" s="7"/>
      <c r="Q257" s="7"/>
      <c r="R257" s="7"/>
      <c r="S257" s="7"/>
      <c r="T257" s="7"/>
      <c r="U257" s="7"/>
      <c r="V257" s="7"/>
      <c r="W257" s="7"/>
    </row>
    <row r="258" spans="1:23" ht="15.75" customHeight="1" x14ac:dyDescent="0.2">
      <c r="A258" s="7"/>
      <c r="B258" s="55"/>
      <c r="C258" s="7"/>
      <c r="D258" s="7"/>
      <c r="E258" s="7"/>
      <c r="F258" s="7"/>
      <c r="G258" s="7"/>
      <c r="H258" s="55"/>
      <c r="I258" s="97"/>
      <c r="J258" s="97"/>
      <c r="K258" s="97"/>
      <c r="L258" s="97"/>
      <c r="M258" s="7"/>
      <c r="N258" s="7"/>
      <c r="O258" s="7"/>
      <c r="P258" s="7"/>
      <c r="Q258" s="7"/>
      <c r="R258" s="7"/>
      <c r="S258" s="7"/>
      <c r="T258" s="7"/>
      <c r="U258" s="7"/>
      <c r="V258" s="7"/>
      <c r="W258" s="7"/>
    </row>
    <row r="259" spans="1:23" ht="15.75" customHeight="1" x14ac:dyDescent="0.2">
      <c r="A259" s="7"/>
      <c r="B259" s="55"/>
      <c r="C259" s="7"/>
      <c r="D259" s="7"/>
      <c r="E259" s="7"/>
      <c r="F259" s="7"/>
      <c r="G259" s="7"/>
      <c r="H259" s="55"/>
      <c r="I259" s="97"/>
      <c r="J259" s="97"/>
      <c r="K259" s="97"/>
      <c r="L259" s="97"/>
      <c r="M259" s="7"/>
      <c r="N259" s="7"/>
      <c r="O259" s="7"/>
      <c r="P259" s="7"/>
      <c r="Q259" s="7"/>
      <c r="R259" s="7"/>
      <c r="S259" s="7"/>
      <c r="T259" s="7"/>
      <c r="U259" s="7"/>
      <c r="V259" s="7"/>
      <c r="W259" s="7"/>
    </row>
    <row r="260" spans="1:23" ht="15.75" customHeight="1" x14ac:dyDescent="0.2">
      <c r="A260" s="7"/>
      <c r="B260" s="55"/>
      <c r="C260" s="7"/>
      <c r="D260" s="7"/>
      <c r="E260" s="7"/>
      <c r="F260" s="7"/>
      <c r="G260" s="7"/>
      <c r="H260" s="55"/>
      <c r="I260" s="97"/>
      <c r="J260" s="97"/>
      <c r="K260" s="97"/>
      <c r="L260" s="97"/>
      <c r="M260" s="7"/>
      <c r="N260" s="7"/>
      <c r="O260" s="7"/>
      <c r="P260" s="7"/>
      <c r="Q260" s="7"/>
      <c r="R260" s="7"/>
      <c r="S260" s="7"/>
      <c r="T260" s="7"/>
      <c r="U260" s="7"/>
      <c r="V260" s="7"/>
      <c r="W260" s="7"/>
    </row>
    <row r="261" spans="1:23" ht="15.75" customHeight="1" x14ac:dyDescent="0.2">
      <c r="A261" s="7"/>
      <c r="B261" s="55"/>
      <c r="C261" s="7"/>
      <c r="D261" s="7"/>
      <c r="E261" s="7"/>
      <c r="F261" s="7"/>
      <c r="G261" s="7"/>
      <c r="H261" s="55"/>
      <c r="I261" s="97"/>
      <c r="J261" s="97"/>
      <c r="K261" s="97"/>
      <c r="L261" s="97"/>
      <c r="M261" s="7"/>
      <c r="N261" s="7"/>
      <c r="O261" s="7"/>
      <c r="P261" s="7"/>
      <c r="Q261" s="7"/>
      <c r="R261" s="7"/>
      <c r="S261" s="7"/>
      <c r="T261" s="7"/>
      <c r="U261" s="7"/>
      <c r="V261" s="7"/>
      <c r="W261" s="7"/>
    </row>
    <row r="262" spans="1:23" ht="15.75" customHeight="1" x14ac:dyDescent="0.2">
      <c r="A262" s="7"/>
      <c r="B262" s="55"/>
      <c r="C262" s="7"/>
      <c r="D262" s="7"/>
      <c r="E262" s="7"/>
      <c r="F262" s="7"/>
      <c r="G262" s="7"/>
      <c r="H262" s="55"/>
      <c r="I262" s="97"/>
      <c r="J262" s="97"/>
      <c r="K262" s="97"/>
      <c r="L262" s="97"/>
      <c r="M262" s="7"/>
      <c r="N262" s="7"/>
      <c r="O262" s="7"/>
      <c r="P262" s="7"/>
      <c r="Q262" s="7"/>
      <c r="R262" s="7"/>
      <c r="S262" s="7"/>
      <c r="T262" s="7"/>
      <c r="U262" s="7"/>
      <c r="V262" s="7"/>
      <c r="W262" s="7"/>
    </row>
    <row r="263" spans="1:23" ht="15.75" customHeight="1" x14ac:dyDescent="0.2">
      <c r="A263" s="7"/>
      <c r="B263" s="55"/>
      <c r="C263" s="7"/>
      <c r="D263" s="7"/>
      <c r="E263" s="7"/>
      <c r="F263" s="7"/>
      <c r="G263" s="7"/>
      <c r="H263" s="55"/>
      <c r="I263" s="97"/>
      <c r="J263" s="97"/>
      <c r="K263" s="97"/>
      <c r="L263" s="97"/>
      <c r="M263" s="7"/>
      <c r="N263" s="7"/>
      <c r="O263" s="7"/>
      <c r="P263" s="7"/>
      <c r="Q263" s="7"/>
      <c r="R263" s="7"/>
      <c r="S263" s="7"/>
      <c r="T263" s="7"/>
      <c r="U263" s="7"/>
      <c r="V263" s="7"/>
      <c r="W263" s="7"/>
    </row>
    <row r="264" spans="1:23" ht="15.75" customHeight="1" x14ac:dyDescent="0.2">
      <c r="A264" s="7"/>
      <c r="B264" s="55"/>
      <c r="C264" s="7"/>
      <c r="D264" s="7"/>
      <c r="E264" s="7"/>
      <c r="F264" s="7"/>
      <c r="G264" s="7"/>
      <c r="H264" s="55"/>
      <c r="I264" s="97"/>
      <c r="J264" s="97"/>
      <c r="K264" s="97"/>
      <c r="L264" s="97"/>
      <c r="M264" s="7"/>
      <c r="N264" s="7"/>
      <c r="O264" s="7"/>
      <c r="P264" s="7"/>
      <c r="Q264" s="7"/>
      <c r="R264" s="7"/>
      <c r="S264" s="7"/>
      <c r="T264" s="7"/>
      <c r="U264" s="7"/>
      <c r="V264" s="7"/>
      <c r="W264" s="7"/>
    </row>
    <row r="265" spans="1:23" ht="15.75" customHeight="1" x14ac:dyDescent="0.2">
      <c r="A265" s="7"/>
      <c r="B265" s="55"/>
      <c r="C265" s="7"/>
      <c r="D265" s="7"/>
      <c r="E265" s="7"/>
      <c r="F265" s="7"/>
      <c r="G265" s="7"/>
      <c r="H265" s="55"/>
      <c r="I265" s="97"/>
      <c r="J265" s="97"/>
      <c r="K265" s="97"/>
      <c r="L265" s="97"/>
      <c r="M265" s="7"/>
      <c r="N265" s="7"/>
      <c r="O265" s="7"/>
      <c r="P265" s="7"/>
      <c r="Q265" s="7"/>
      <c r="R265" s="7"/>
      <c r="S265" s="7"/>
      <c r="T265" s="7"/>
      <c r="U265" s="7"/>
      <c r="V265" s="7"/>
      <c r="W265" s="7"/>
    </row>
    <row r="266" spans="1:23" ht="15.75" customHeight="1" x14ac:dyDescent="0.2">
      <c r="A266" s="7"/>
      <c r="B266" s="55"/>
      <c r="C266" s="7"/>
      <c r="D266" s="7"/>
      <c r="E266" s="7"/>
      <c r="F266" s="7"/>
      <c r="G266" s="7"/>
      <c r="H266" s="55"/>
      <c r="I266" s="97"/>
      <c r="J266" s="97"/>
      <c r="K266" s="97"/>
      <c r="L266" s="97"/>
      <c r="M266" s="7"/>
      <c r="N266" s="7"/>
      <c r="O266" s="7"/>
      <c r="P266" s="7"/>
      <c r="Q266" s="7"/>
      <c r="R266" s="7"/>
      <c r="S266" s="7"/>
      <c r="T266" s="7"/>
      <c r="U266" s="7"/>
      <c r="V266" s="7"/>
      <c r="W266" s="7"/>
    </row>
    <row r="267" spans="1:23" ht="15.75" customHeight="1" x14ac:dyDescent="0.2">
      <c r="A267" s="7"/>
      <c r="B267" s="55"/>
      <c r="C267" s="7"/>
      <c r="D267" s="7"/>
      <c r="E267" s="7"/>
      <c r="F267" s="7"/>
      <c r="G267" s="7"/>
      <c r="H267" s="55"/>
      <c r="I267" s="97"/>
      <c r="J267" s="97"/>
      <c r="K267" s="97"/>
      <c r="L267" s="97"/>
      <c r="M267" s="7"/>
      <c r="N267" s="7"/>
      <c r="O267" s="7"/>
      <c r="P267" s="7"/>
      <c r="Q267" s="7"/>
      <c r="R267" s="7"/>
      <c r="S267" s="7"/>
      <c r="T267" s="7"/>
      <c r="U267" s="7"/>
      <c r="V267" s="7"/>
      <c r="W267" s="7"/>
    </row>
    <row r="268" spans="1:23" ht="15.75" customHeight="1" x14ac:dyDescent="0.2">
      <c r="A268" s="7"/>
      <c r="B268" s="55"/>
      <c r="C268" s="7"/>
      <c r="D268" s="7"/>
      <c r="E268" s="7"/>
      <c r="F268" s="7"/>
      <c r="G268" s="7"/>
      <c r="H268" s="55"/>
      <c r="I268" s="97"/>
      <c r="J268" s="97"/>
      <c r="K268" s="97"/>
      <c r="L268" s="97"/>
      <c r="M268" s="7"/>
      <c r="N268" s="7"/>
      <c r="O268" s="7"/>
      <c r="P268" s="7"/>
      <c r="Q268" s="7"/>
      <c r="R268" s="7"/>
      <c r="S268" s="7"/>
      <c r="T268" s="7"/>
      <c r="U268" s="7"/>
      <c r="V268" s="7"/>
      <c r="W268" s="7"/>
    </row>
    <row r="269" spans="1:23" ht="15.75" customHeight="1" x14ac:dyDescent="0.2">
      <c r="A269" s="7"/>
      <c r="B269" s="55"/>
      <c r="C269" s="7"/>
      <c r="D269" s="7"/>
      <c r="E269" s="7"/>
      <c r="F269" s="7"/>
      <c r="G269" s="7"/>
      <c r="H269" s="55"/>
      <c r="I269" s="97"/>
      <c r="J269" s="97"/>
      <c r="K269" s="97"/>
      <c r="L269" s="97"/>
      <c r="M269" s="7"/>
      <c r="N269" s="7"/>
      <c r="O269" s="7"/>
      <c r="P269" s="7"/>
      <c r="Q269" s="7"/>
      <c r="R269" s="7"/>
      <c r="S269" s="7"/>
      <c r="T269" s="7"/>
      <c r="U269" s="7"/>
      <c r="V269" s="7"/>
      <c r="W269" s="7"/>
    </row>
    <row r="270" spans="1:23" ht="15.75" customHeight="1" x14ac:dyDescent="0.2">
      <c r="A270" s="7"/>
      <c r="B270" s="55"/>
      <c r="C270" s="7"/>
      <c r="D270" s="7"/>
      <c r="E270" s="7"/>
      <c r="F270" s="7"/>
      <c r="G270" s="7"/>
      <c r="H270" s="55"/>
      <c r="I270" s="97"/>
      <c r="J270" s="97"/>
      <c r="K270" s="97"/>
      <c r="L270" s="97"/>
      <c r="M270" s="7"/>
      <c r="N270" s="7"/>
      <c r="O270" s="7"/>
      <c r="P270" s="7"/>
      <c r="Q270" s="7"/>
      <c r="R270" s="7"/>
      <c r="S270" s="7"/>
      <c r="T270" s="7"/>
      <c r="U270" s="7"/>
      <c r="V270" s="7"/>
      <c r="W270" s="7"/>
    </row>
    <row r="271" spans="1:23" ht="15.75" customHeight="1" x14ac:dyDescent="0.2">
      <c r="A271" s="7"/>
      <c r="B271" s="55"/>
      <c r="C271" s="7"/>
      <c r="D271" s="7"/>
      <c r="E271" s="7"/>
      <c r="F271" s="7"/>
      <c r="G271" s="7"/>
      <c r="H271" s="55"/>
      <c r="I271" s="97"/>
      <c r="J271" s="97"/>
      <c r="K271" s="97"/>
      <c r="L271" s="97"/>
      <c r="M271" s="7"/>
      <c r="N271" s="7"/>
      <c r="O271" s="7"/>
      <c r="P271" s="7"/>
      <c r="Q271" s="7"/>
      <c r="R271" s="7"/>
      <c r="S271" s="7"/>
      <c r="T271" s="7"/>
      <c r="U271" s="7"/>
      <c r="V271" s="7"/>
      <c r="W271" s="7"/>
    </row>
    <row r="272" spans="1:23" ht="15.75" customHeight="1" x14ac:dyDescent="0.2">
      <c r="A272" s="7"/>
      <c r="B272" s="55"/>
      <c r="C272" s="7"/>
      <c r="D272" s="7"/>
      <c r="E272" s="7"/>
      <c r="F272" s="7"/>
      <c r="G272" s="7"/>
      <c r="H272" s="55"/>
      <c r="I272" s="97"/>
      <c r="J272" s="97"/>
      <c r="K272" s="97"/>
      <c r="L272" s="97"/>
      <c r="M272" s="7"/>
      <c r="N272" s="7"/>
      <c r="O272" s="7"/>
      <c r="P272" s="7"/>
      <c r="Q272" s="7"/>
      <c r="R272" s="7"/>
      <c r="S272" s="7"/>
      <c r="T272" s="7"/>
      <c r="U272" s="7"/>
      <c r="V272" s="7"/>
      <c r="W272" s="7"/>
    </row>
    <row r="273" spans="1:23" ht="15.75" customHeight="1" x14ac:dyDescent="0.2">
      <c r="A273" s="7"/>
      <c r="B273" s="55"/>
      <c r="C273" s="7"/>
      <c r="D273" s="7"/>
      <c r="E273" s="7"/>
      <c r="F273" s="7"/>
      <c r="G273" s="7"/>
      <c r="H273" s="55"/>
      <c r="I273" s="97"/>
      <c r="J273" s="97"/>
      <c r="K273" s="97"/>
      <c r="L273" s="97"/>
      <c r="M273" s="7"/>
      <c r="N273" s="7"/>
      <c r="O273" s="7"/>
      <c r="P273" s="7"/>
      <c r="Q273" s="7"/>
      <c r="R273" s="7"/>
      <c r="S273" s="7"/>
      <c r="T273" s="7"/>
      <c r="U273" s="7"/>
      <c r="V273" s="7"/>
      <c r="W273" s="7"/>
    </row>
    <row r="274" spans="1:23" ht="15.75" customHeight="1" x14ac:dyDescent="0.2">
      <c r="A274" s="7"/>
      <c r="B274" s="55"/>
      <c r="C274" s="7"/>
      <c r="D274" s="7"/>
      <c r="E274" s="7"/>
      <c r="F274" s="7"/>
      <c r="G274" s="7"/>
      <c r="H274" s="55"/>
      <c r="I274" s="97"/>
      <c r="J274" s="97"/>
      <c r="K274" s="97"/>
      <c r="L274" s="97"/>
      <c r="M274" s="7"/>
      <c r="N274" s="7"/>
      <c r="O274" s="7"/>
      <c r="P274" s="7"/>
      <c r="Q274" s="7"/>
      <c r="R274" s="7"/>
      <c r="S274" s="7"/>
      <c r="T274" s="7"/>
      <c r="U274" s="7"/>
      <c r="V274" s="7"/>
      <c r="W274" s="7"/>
    </row>
    <row r="275" spans="1:23" ht="15.75" customHeight="1" x14ac:dyDescent="0.2">
      <c r="A275" s="7"/>
      <c r="B275" s="55"/>
      <c r="C275" s="7"/>
      <c r="D275" s="7"/>
      <c r="E275" s="7"/>
      <c r="F275" s="7"/>
      <c r="G275" s="7"/>
      <c r="H275" s="55"/>
      <c r="I275" s="97"/>
      <c r="J275" s="97"/>
      <c r="K275" s="97"/>
      <c r="L275" s="97"/>
      <c r="M275" s="7"/>
      <c r="N275" s="7"/>
      <c r="O275" s="7"/>
      <c r="P275" s="7"/>
      <c r="Q275" s="7"/>
      <c r="R275" s="7"/>
      <c r="S275" s="7"/>
      <c r="T275" s="7"/>
      <c r="U275" s="7"/>
      <c r="V275" s="7"/>
      <c r="W275" s="7"/>
    </row>
    <row r="276" spans="1:23" ht="15.75" customHeight="1" x14ac:dyDescent="0.2">
      <c r="A276" s="7"/>
      <c r="B276" s="55"/>
      <c r="C276" s="7"/>
      <c r="D276" s="7"/>
      <c r="E276" s="7"/>
      <c r="F276" s="7"/>
      <c r="G276" s="7"/>
      <c r="H276" s="55"/>
      <c r="I276" s="97"/>
      <c r="J276" s="97"/>
      <c r="K276" s="97"/>
      <c r="L276" s="97"/>
      <c r="M276" s="7"/>
      <c r="N276" s="7"/>
      <c r="O276" s="7"/>
      <c r="P276" s="7"/>
      <c r="Q276" s="7"/>
      <c r="R276" s="7"/>
      <c r="S276" s="7"/>
      <c r="T276" s="7"/>
      <c r="U276" s="7"/>
      <c r="V276" s="7"/>
      <c r="W276" s="7"/>
    </row>
    <row r="277" spans="1:23" ht="15.75" customHeight="1" x14ac:dyDescent="0.2">
      <c r="A277" s="7"/>
      <c r="B277" s="55"/>
      <c r="C277" s="7"/>
      <c r="D277" s="7"/>
      <c r="E277" s="7"/>
      <c r="F277" s="7"/>
      <c r="G277" s="7"/>
      <c r="H277" s="55"/>
      <c r="I277" s="97"/>
      <c r="J277" s="97"/>
      <c r="K277" s="97"/>
      <c r="L277" s="97"/>
      <c r="M277" s="7"/>
      <c r="N277" s="7"/>
      <c r="O277" s="7"/>
      <c r="P277" s="7"/>
      <c r="Q277" s="7"/>
      <c r="R277" s="7"/>
      <c r="S277" s="7"/>
      <c r="T277" s="7"/>
      <c r="U277" s="7"/>
      <c r="V277" s="7"/>
      <c r="W277" s="7"/>
    </row>
    <row r="278" spans="1:23" ht="15.75" customHeight="1" x14ac:dyDescent="0.2">
      <c r="A278" s="7"/>
      <c r="B278" s="55"/>
      <c r="C278" s="7"/>
      <c r="D278" s="7"/>
      <c r="E278" s="7"/>
      <c r="F278" s="7"/>
      <c r="G278" s="7"/>
      <c r="H278" s="55"/>
      <c r="I278" s="97"/>
      <c r="J278" s="97"/>
      <c r="K278" s="97"/>
      <c r="L278" s="97"/>
      <c r="M278" s="7"/>
      <c r="N278" s="7"/>
      <c r="O278" s="7"/>
      <c r="P278" s="7"/>
      <c r="Q278" s="7"/>
      <c r="R278" s="7"/>
      <c r="S278" s="7"/>
      <c r="T278" s="7"/>
      <c r="U278" s="7"/>
      <c r="V278" s="7"/>
      <c r="W278" s="7"/>
    </row>
    <row r="279" spans="1:23" ht="15.75" customHeight="1" x14ac:dyDescent="0.2">
      <c r="A279" s="7"/>
      <c r="B279" s="55"/>
      <c r="C279" s="7"/>
      <c r="D279" s="7"/>
      <c r="E279" s="7"/>
      <c r="F279" s="7"/>
      <c r="G279" s="7"/>
      <c r="H279" s="55"/>
      <c r="I279" s="97"/>
      <c r="J279" s="97"/>
      <c r="K279" s="97"/>
      <c r="L279" s="97"/>
      <c r="M279" s="7"/>
      <c r="N279" s="7"/>
      <c r="O279" s="7"/>
      <c r="P279" s="7"/>
      <c r="Q279" s="7"/>
      <c r="R279" s="7"/>
      <c r="S279" s="7"/>
      <c r="T279" s="7"/>
      <c r="U279" s="7"/>
      <c r="V279" s="7"/>
      <c r="W279" s="7"/>
    </row>
    <row r="280" spans="1:23" ht="15.75" customHeight="1" x14ac:dyDescent="0.2">
      <c r="A280" s="7"/>
      <c r="B280" s="55"/>
      <c r="C280" s="7"/>
      <c r="D280" s="7"/>
      <c r="E280" s="7"/>
      <c r="F280" s="7"/>
      <c r="G280" s="7"/>
      <c r="H280" s="55"/>
      <c r="I280" s="97"/>
      <c r="J280" s="97"/>
      <c r="K280" s="97"/>
      <c r="L280" s="97"/>
      <c r="M280" s="7"/>
      <c r="N280" s="7"/>
      <c r="O280" s="7"/>
      <c r="P280" s="7"/>
      <c r="Q280" s="7"/>
      <c r="R280" s="7"/>
      <c r="S280" s="7"/>
      <c r="T280" s="7"/>
      <c r="U280" s="7"/>
      <c r="V280" s="7"/>
      <c r="W280" s="7"/>
    </row>
    <row r="281" spans="1:23" ht="15.75" customHeight="1" x14ac:dyDescent="0.2">
      <c r="A281" s="7"/>
      <c r="B281" s="55"/>
      <c r="C281" s="7"/>
      <c r="D281" s="7"/>
      <c r="E281" s="7"/>
      <c r="F281" s="7"/>
      <c r="G281" s="7"/>
      <c r="H281" s="55"/>
      <c r="I281" s="97"/>
      <c r="J281" s="97"/>
      <c r="K281" s="97"/>
      <c r="L281" s="97"/>
      <c r="M281" s="7"/>
      <c r="N281" s="7"/>
      <c r="O281" s="7"/>
      <c r="P281" s="7"/>
      <c r="Q281" s="7"/>
      <c r="R281" s="7"/>
      <c r="S281" s="7"/>
      <c r="T281" s="7"/>
      <c r="U281" s="7"/>
      <c r="V281" s="7"/>
      <c r="W281" s="7"/>
    </row>
    <row r="282" spans="1:23" ht="15.75" customHeight="1" x14ac:dyDescent="0.2">
      <c r="A282" s="7"/>
      <c r="B282" s="55"/>
      <c r="C282" s="7"/>
      <c r="D282" s="7"/>
      <c r="E282" s="7"/>
      <c r="F282" s="7"/>
      <c r="G282" s="7"/>
      <c r="H282" s="55"/>
      <c r="I282" s="97"/>
      <c r="J282" s="97"/>
      <c r="K282" s="97"/>
      <c r="L282" s="97"/>
      <c r="M282" s="7"/>
      <c r="N282" s="7"/>
      <c r="O282" s="7"/>
      <c r="P282" s="7"/>
      <c r="Q282" s="7"/>
      <c r="R282" s="7"/>
      <c r="S282" s="7"/>
      <c r="T282" s="7"/>
      <c r="U282" s="7"/>
      <c r="V282" s="7"/>
      <c r="W282" s="7"/>
    </row>
    <row r="283" spans="1:23" ht="15.75" customHeight="1" x14ac:dyDescent="0.2">
      <c r="A283" s="7"/>
      <c r="B283" s="55"/>
      <c r="C283" s="7"/>
      <c r="D283" s="7"/>
      <c r="E283" s="7"/>
      <c r="F283" s="7"/>
      <c r="G283" s="7"/>
      <c r="H283" s="55"/>
      <c r="I283" s="97"/>
      <c r="J283" s="97"/>
      <c r="K283" s="97"/>
      <c r="L283" s="97"/>
      <c r="M283" s="7"/>
      <c r="N283" s="7"/>
      <c r="O283" s="7"/>
      <c r="P283" s="7"/>
      <c r="Q283" s="7"/>
      <c r="R283" s="7"/>
      <c r="S283" s="7"/>
      <c r="T283" s="7"/>
      <c r="U283" s="7"/>
      <c r="V283" s="7"/>
      <c r="W283" s="7"/>
    </row>
    <row r="284" spans="1:23" ht="15.75" customHeight="1" x14ac:dyDescent="0.2">
      <c r="A284" s="7"/>
      <c r="B284" s="55"/>
      <c r="C284" s="7"/>
      <c r="D284" s="7"/>
      <c r="E284" s="7"/>
      <c r="F284" s="7"/>
      <c r="G284" s="7"/>
      <c r="H284" s="55"/>
      <c r="I284" s="97"/>
      <c r="J284" s="97"/>
      <c r="K284" s="97"/>
      <c r="L284" s="97"/>
      <c r="M284" s="7"/>
      <c r="N284" s="7"/>
      <c r="O284" s="7"/>
      <c r="P284" s="7"/>
      <c r="Q284" s="7"/>
      <c r="R284" s="7"/>
      <c r="S284" s="7"/>
      <c r="T284" s="7"/>
      <c r="U284" s="7"/>
      <c r="V284" s="7"/>
      <c r="W284" s="7"/>
    </row>
    <row r="285" spans="1:23" ht="15.75" customHeight="1" x14ac:dyDescent="0.2">
      <c r="A285" s="7"/>
      <c r="B285" s="55"/>
      <c r="C285" s="7"/>
      <c r="D285" s="7"/>
      <c r="E285" s="7"/>
      <c r="F285" s="7"/>
      <c r="G285" s="7"/>
      <c r="H285" s="55"/>
      <c r="I285" s="97"/>
      <c r="J285" s="97"/>
      <c r="K285" s="97"/>
      <c r="L285" s="97"/>
      <c r="M285" s="7"/>
      <c r="N285" s="7"/>
      <c r="O285" s="7"/>
      <c r="P285" s="7"/>
      <c r="Q285" s="7"/>
      <c r="R285" s="7"/>
      <c r="S285" s="7"/>
      <c r="T285" s="7"/>
      <c r="U285" s="7"/>
      <c r="V285" s="7"/>
      <c r="W285" s="7"/>
    </row>
    <row r="286" spans="1:23" ht="15.75" customHeight="1" x14ac:dyDescent="0.2">
      <c r="A286" s="7"/>
      <c r="B286" s="55"/>
      <c r="C286" s="7"/>
      <c r="D286" s="7"/>
      <c r="E286" s="7"/>
      <c r="F286" s="7"/>
      <c r="G286" s="7"/>
      <c r="H286" s="55"/>
      <c r="I286" s="97"/>
      <c r="J286" s="97"/>
      <c r="K286" s="97"/>
      <c r="L286" s="97"/>
      <c r="M286" s="7"/>
      <c r="N286" s="7"/>
      <c r="O286" s="7"/>
      <c r="P286" s="7"/>
      <c r="Q286" s="7"/>
      <c r="R286" s="7"/>
      <c r="S286" s="7"/>
      <c r="T286" s="7"/>
      <c r="U286" s="7"/>
      <c r="V286" s="7"/>
      <c r="W286" s="7"/>
    </row>
    <row r="287" spans="1:23" ht="15.75" customHeight="1" x14ac:dyDescent="0.2">
      <c r="A287" s="7"/>
      <c r="B287" s="55"/>
      <c r="C287" s="7"/>
      <c r="D287" s="7"/>
      <c r="E287" s="7"/>
      <c r="F287" s="7"/>
      <c r="G287" s="7"/>
      <c r="H287" s="55"/>
      <c r="I287" s="97"/>
      <c r="J287" s="97"/>
      <c r="K287" s="97"/>
      <c r="L287" s="97"/>
      <c r="M287" s="7"/>
      <c r="N287" s="7"/>
      <c r="O287" s="7"/>
      <c r="P287" s="7"/>
      <c r="Q287" s="7"/>
      <c r="R287" s="7"/>
      <c r="S287" s="7"/>
      <c r="T287" s="7"/>
      <c r="U287" s="7"/>
      <c r="V287" s="7"/>
      <c r="W287" s="7"/>
    </row>
    <row r="288" spans="1:23" ht="15.75" customHeight="1" x14ac:dyDescent="0.2">
      <c r="A288" s="7"/>
      <c r="B288" s="55"/>
      <c r="C288" s="7"/>
      <c r="D288" s="7"/>
      <c r="E288" s="7"/>
      <c r="F288" s="7"/>
      <c r="G288" s="7"/>
      <c r="H288" s="55"/>
      <c r="I288" s="97"/>
      <c r="J288" s="97"/>
      <c r="K288" s="97"/>
      <c r="L288" s="97"/>
      <c r="M288" s="7"/>
      <c r="N288" s="7"/>
      <c r="O288" s="7"/>
      <c r="P288" s="7"/>
      <c r="Q288" s="7"/>
      <c r="R288" s="7"/>
      <c r="S288" s="7"/>
      <c r="T288" s="7"/>
      <c r="U288" s="7"/>
      <c r="V288" s="7"/>
      <c r="W288" s="7"/>
    </row>
    <row r="289" spans="1:23" ht="15.75" customHeight="1" x14ac:dyDescent="0.2">
      <c r="A289" s="7"/>
      <c r="B289" s="55"/>
      <c r="C289" s="7"/>
      <c r="D289" s="7"/>
      <c r="E289" s="7"/>
      <c r="F289" s="7"/>
      <c r="G289" s="7"/>
      <c r="H289" s="55"/>
      <c r="I289" s="97"/>
      <c r="J289" s="97"/>
      <c r="K289" s="97"/>
      <c r="L289" s="97"/>
      <c r="M289" s="7"/>
      <c r="N289" s="7"/>
      <c r="O289" s="7"/>
      <c r="P289" s="7"/>
      <c r="Q289" s="7"/>
      <c r="R289" s="7"/>
      <c r="S289" s="7"/>
      <c r="T289" s="7"/>
      <c r="U289" s="7"/>
      <c r="V289" s="7"/>
      <c r="W289" s="7"/>
    </row>
    <row r="290" spans="1:23" ht="15.75" customHeight="1" x14ac:dyDescent="0.2">
      <c r="A290" s="7"/>
      <c r="B290" s="55"/>
      <c r="C290" s="7"/>
      <c r="D290" s="7"/>
      <c r="E290" s="7"/>
      <c r="F290" s="7"/>
      <c r="G290" s="7"/>
      <c r="H290" s="55"/>
      <c r="I290" s="97"/>
      <c r="J290" s="97"/>
      <c r="K290" s="97"/>
      <c r="L290" s="97"/>
      <c r="M290" s="7"/>
      <c r="N290" s="7"/>
      <c r="O290" s="7"/>
      <c r="P290" s="7"/>
      <c r="Q290" s="7"/>
      <c r="R290" s="7"/>
      <c r="S290" s="7"/>
      <c r="T290" s="7"/>
      <c r="U290" s="7"/>
      <c r="V290" s="7"/>
      <c r="W290" s="7"/>
    </row>
    <row r="291" spans="1:23" ht="15.75" customHeight="1" x14ac:dyDescent="0.2">
      <c r="A291" s="7"/>
      <c r="B291" s="55"/>
      <c r="C291" s="7"/>
      <c r="D291" s="7"/>
      <c r="E291" s="7"/>
      <c r="F291" s="7"/>
      <c r="G291" s="7"/>
      <c r="H291" s="55"/>
      <c r="I291" s="97"/>
      <c r="J291" s="97"/>
      <c r="K291" s="97"/>
      <c r="L291" s="97"/>
      <c r="M291" s="7"/>
      <c r="N291" s="7"/>
      <c r="O291" s="7"/>
      <c r="P291" s="7"/>
      <c r="Q291" s="7"/>
      <c r="R291" s="7"/>
      <c r="S291" s="7"/>
      <c r="T291" s="7"/>
      <c r="U291" s="7"/>
      <c r="V291" s="7"/>
      <c r="W291" s="7"/>
    </row>
    <row r="292" spans="1:23" ht="15.75" customHeight="1" x14ac:dyDescent="0.2">
      <c r="A292" s="7"/>
      <c r="B292" s="55"/>
      <c r="C292" s="7"/>
      <c r="D292" s="7"/>
      <c r="E292" s="7"/>
      <c r="F292" s="7"/>
      <c r="G292" s="7"/>
      <c r="H292" s="55"/>
      <c r="I292" s="97"/>
      <c r="J292" s="97"/>
      <c r="K292" s="97"/>
      <c r="L292" s="97"/>
      <c r="M292" s="7"/>
      <c r="N292" s="7"/>
      <c r="O292" s="7"/>
      <c r="P292" s="7"/>
      <c r="Q292" s="7"/>
      <c r="R292" s="7"/>
      <c r="S292" s="7"/>
      <c r="T292" s="7"/>
      <c r="U292" s="7"/>
      <c r="V292" s="7"/>
      <c r="W292" s="7"/>
    </row>
    <row r="293" spans="1:23" ht="15.75" customHeight="1" x14ac:dyDescent="0.2">
      <c r="A293" s="7"/>
      <c r="B293" s="55"/>
      <c r="C293" s="7"/>
      <c r="D293" s="7"/>
      <c r="E293" s="7"/>
      <c r="F293" s="7"/>
      <c r="G293" s="7"/>
      <c r="H293" s="55"/>
      <c r="I293" s="97"/>
      <c r="J293" s="97"/>
      <c r="K293" s="97"/>
      <c r="L293" s="97"/>
      <c r="M293" s="7"/>
      <c r="N293" s="7"/>
      <c r="O293" s="7"/>
      <c r="P293" s="7"/>
      <c r="Q293" s="7"/>
      <c r="R293" s="7"/>
      <c r="S293" s="7"/>
      <c r="T293" s="7"/>
      <c r="U293" s="7"/>
      <c r="V293" s="7"/>
      <c r="W293" s="7"/>
    </row>
    <row r="294" spans="1:23" ht="15.75" customHeight="1" x14ac:dyDescent="0.2">
      <c r="A294" s="7"/>
      <c r="B294" s="55"/>
      <c r="C294" s="7"/>
      <c r="D294" s="7"/>
      <c r="E294" s="7"/>
      <c r="F294" s="7"/>
      <c r="G294" s="7"/>
      <c r="H294" s="55"/>
      <c r="I294" s="97"/>
      <c r="J294" s="97"/>
      <c r="K294" s="97"/>
      <c r="L294" s="97"/>
      <c r="M294" s="7"/>
      <c r="N294" s="7"/>
      <c r="O294" s="7"/>
      <c r="P294" s="7"/>
      <c r="Q294" s="7"/>
      <c r="R294" s="7"/>
      <c r="S294" s="7"/>
      <c r="T294" s="7"/>
      <c r="U294" s="7"/>
      <c r="V294" s="7"/>
      <c r="W294" s="7"/>
    </row>
    <row r="295" spans="1:23" ht="15.75" customHeight="1" x14ac:dyDescent="0.2">
      <c r="A295" s="7"/>
      <c r="B295" s="55"/>
      <c r="C295" s="7"/>
      <c r="D295" s="7"/>
      <c r="E295" s="7"/>
      <c r="F295" s="7"/>
      <c r="G295" s="7"/>
      <c r="H295" s="55"/>
      <c r="I295" s="97"/>
      <c r="J295" s="97"/>
      <c r="K295" s="97"/>
      <c r="L295" s="97"/>
      <c r="M295" s="7"/>
      <c r="N295" s="7"/>
      <c r="O295" s="7"/>
      <c r="P295" s="7"/>
      <c r="Q295" s="7"/>
      <c r="R295" s="7"/>
      <c r="S295" s="7"/>
      <c r="T295" s="7"/>
      <c r="U295" s="7"/>
      <c r="V295" s="7"/>
      <c r="W295" s="7"/>
    </row>
    <row r="296" spans="1:23" ht="15.75" customHeight="1" x14ac:dyDescent="0.2">
      <c r="A296" s="7"/>
      <c r="B296" s="55"/>
      <c r="C296" s="7"/>
      <c r="D296" s="7"/>
      <c r="E296" s="7"/>
      <c r="F296" s="7"/>
      <c r="G296" s="7"/>
      <c r="H296" s="55"/>
      <c r="I296" s="97"/>
      <c r="J296" s="97"/>
      <c r="K296" s="97"/>
      <c r="L296" s="97"/>
      <c r="M296" s="7"/>
      <c r="N296" s="7"/>
      <c r="O296" s="7"/>
      <c r="P296" s="7"/>
      <c r="Q296" s="7"/>
      <c r="R296" s="7"/>
      <c r="S296" s="7"/>
      <c r="T296" s="7"/>
      <c r="U296" s="7"/>
      <c r="V296" s="7"/>
      <c r="W296" s="7"/>
    </row>
    <row r="297" spans="1:23" ht="15.75" customHeight="1" x14ac:dyDescent="0.2">
      <c r="A297" s="7"/>
      <c r="B297" s="55"/>
      <c r="C297" s="7"/>
      <c r="D297" s="7"/>
      <c r="E297" s="7"/>
      <c r="F297" s="7"/>
      <c r="G297" s="7"/>
      <c r="H297" s="55"/>
      <c r="I297" s="97"/>
      <c r="J297" s="97"/>
      <c r="K297" s="97"/>
      <c r="L297" s="97"/>
      <c r="M297" s="7"/>
      <c r="N297" s="7"/>
      <c r="O297" s="7"/>
      <c r="P297" s="7"/>
      <c r="Q297" s="7"/>
      <c r="R297" s="7"/>
      <c r="S297" s="7"/>
      <c r="T297" s="7"/>
      <c r="U297" s="7"/>
      <c r="V297" s="7"/>
      <c r="W297" s="7"/>
    </row>
    <row r="298" spans="1:23" ht="15.75" customHeight="1" x14ac:dyDescent="0.2">
      <c r="A298" s="7"/>
      <c r="B298" s="55"/>
      <c r="C298" s="7"/>
      <c r="D298" s="7"/>
      <c r="E298" s="7"/>
      <c r="F298" s="7"/>
      <c r="G298" s="7"/>
      <c r="H298" s="55"/>
      <c r="I298" s="97"/>
      <c r="J298" s="97"/>
      <c r="K298" s="97"/>
      <c r="L298" s="97"/>
      <c r="M298" s="7"/>
      <c r="N298" s="7"/>
      <c r="O298" s="7"/>
      <c r="P298" s="7"/>
      <c r="Q298" s="7"/>
      <c r="R298" s="7"/>
      <c r="S298" s="7"/>
      <c r="T298" s="7"/>
      <c r="U298" s="7"/>
      <c r="V298" s="7"/>
      <c r="W298" s="7"/>
    </row>
    <row r="299" spans="1:23" ht="15.75" customHeight="1" x14ac:dyDescent="0.2">
      <c r="A299" s="7"/>
      <c r="B299" s="55"/>
      <c r="C299" s="7"/>
      <c r="D299" s="7"/>
      <c r="E299" s="7"/>
      <c r="F299" s="7"/>
      <c r="G299" s="7"/>
      <c r="H299" s="55"/>
      <c r="I299" s="97"/>
      <c r="J299" s="97"/>
      <c r="K299" s="97"/>
      <c r="L299" s="97"/>
      <c r="M299" s="7"/>
      <c r="N299" s="7"/>
      <c r="O299" s="7"/>
      <c r="P299" s="7"/>
      <c r="Q299" s="7"/>
      <c r="R299" s="7"/>
      <c r="S299" s="7"/>
      <c r="T299" s="7"/>
      <c r="U299" s="7"/>
      <c r="V299" s="7"/>
      <c r="W299" s="7"/>
    </row>
    <row r="300" spans="1:23" ht="15.75" customHeight="1" x14ac:dyDescent="0.2">
      <c r="A300" s="7"/>
      <c r="B300" s="55"/>
      <c r="C300" s="7"/>
      <c r="D300" s="7"/>
      <c r="E300" s="7"/>
      <c r="F300" s="7"/>
      <c r="G300" s="7"/>
      <c r="H300" s="55"/>
      <c r="I300" s="97"/>
      <c r="J300" s="97"/>
      <c r="K300" s="97"/>
      <c r="L300" s="97"/>
      <c r="M300" s="7"/>
      <c r="N300" s="7"/>
      <c r="O300" s="7"/>
      <c r="P300" s="7"/>
      <c r="Q300" s="7"/>
      <c r="R300" s="7"/>
      <c r="S300" s="7"/>
      <c r="T300" s="7"/>
      <c r="U300" s="7"/>
      <c r="V300" s="7"/>
      <c r="W300" s="7"/>
    </row>
    <row r="301" spans="1:23" ht="15.75" customHeight="1" x14ac:dyDescent="0.2">
      <c r="A301" s="7"/>
      <c r="B301" s="55"/>
      <c r="C301" s="7"/>
      <c r="D301" s="7"/>
      <c r="E301" s="7"/>
      <c r="F301" s="7"/>
      <c r="G301" s="7"/>
      <c r="H301" s="55"/>
      <c r="I301" s="97"/>
      <c r="J301" s="97"/>
      <c r="K301" s="97"/>
      <c r="L301" s="97"/>
      <c r="M301" s="7"/>
      <c r="N301" s="7"/>
      <c r="O301" s="7"/>
      <c r="P301" s="7"/>
      <c r="Q301" s="7"/>
      <c r="R301" s="7"/>
      <c r="S301" s="7"/>
      <c r="T301" s="7"/>
      <c r="U301" s="7"/>
      <c r="V301" s="7"/>
      <c r="W301" s="7"/>
    </row>
    <row r="302" spans="1:23" ht="15.75" customHeight="1" x14ac:dyDescent="0.2">
      <c r="A302" s="7"/>
      <c r="B302" s="55"/>
      <c r="C302" s="7"/>
      <c r="D302" s="7"/>
      <c r="E302" s="7"/>
      <c r="F302" s="7"/>
      <c r="G302" s="7"/>
      <c r="H302" s="55"/>
      <c r="I302" s="97"/>
      <c r="J302" s="97"/>
      <c r="K302" s="97"/>
      <c r="L302" s="97"/>
      <c r="M302" s="7"/>
      <c r="N302" s="7"/>
      <c r="O302" s="7"/>
      <c r="P302" s="7"/>
      <c r="Q302" s="7"/>
      <c r="R302" s="7"/>
      <c r="S302" s="7"/>
      <c r="T302" s="7"/>
      <c r="U302" s="7"/>
      <c r="V302" s="7"/>
      <c r="W302" s="7"/>
    </row>
    <row r="303" spans="1:23" ht="15.75" customHeight="1" x14ac:dyDescent="0.2">
      <c r="A303" s="7"/>
      <c r="B303" s="55"/>
      <c r="C303" s="7"/>
      <c r="D303" s="7"/>
      <c r="E303" s="7"/>
      <c r="F303" s="7"/>
      <c r="G303" s="7"/>
      <c r="H303" s="55"/>
      <c r="I303" s="97"/>
      <c r="J303" s="97"/>
      <c r="K303" s="97"/>
      <c r="L303" s="97"/>
      <c r="M303" s="7"/>
      <c r="N303" s="7"/>
      <c r="O303" s="7"/>
      <c r="P303" s="7"/>
      <c r="Q303" s="7"/>
      <c r="R303" s="7"/>
      <c r="S303" s="7"/>
      <c r="T303" s="7"/>
      <c r="U303" s="7"/>
      <c r="V303" s="7"/>
      <c r="W303" s="7"/>
    </row>
    <row r="304" spans="1:23" ht="15.75" customHeight="1" x14ac:dyDescent="0.2">
      <c r="A304" s="7"/>
      <c r="B304" s="55"/>
      <c r="C304" s="7"/>
      <c r="D304" s="7"/>
      <c r="E304" s="7"/>
      <c r="F304" s="7"/>
      <c r="G304" s="7"/>
      <c r="H304" s="55"/>
      <c r="I304" s="97"/>
      <c r="J304" s="97"/>
      <c r="K304" s="97"/>
      <c r="L304" s="97"/>
      <c r="M304" s="7"/>
      <c r="N304" s="7"/>
      <c r="O304" s="7"/>
      <c r="P304" s="7"/>
      <c r="Q304" s="7"/>
      <c r="R304" s="7"/>
      <c r="S304" s="7"/>
      <c r="T304" s="7"/>
      <c r="U304" s="7"/>
      <c r="V304" s="7"/>
      <c r="W304" s="7"/>
    </row>
    <row r="305" spans="1:23" ht="15.75" customHeight="1" x14ac:dyDescent="0.2">
      <c r="A305" s="7"/>
      <c r="B305" s="55"/>
      <c r="C305" s="7"/>
      <c r="D305" s="7"/>
      <c r="E305" s="7"/>
      <c r="F305" s="7"/>
      <c r="G305" s="7"/>
      <c r="H305" s="55"/>
      <c r="I305" s="97"/>
      <c r="J305" s="97"/>
      <c r="K305" s="97"/>
      <c r="L305" s="97"/>
      <c r="M305" s="7"/>
      <c r="N305" s="7"/>
      <c r="O305" s="7"/>
      <c r="P305" s="7"/>
      <c r="Q305" s="7"/>
      <c r="R305" s="7"/>
      <c r="S305" s="7"/>
      <c r="T305" s="7"/>
      <c r="U305" s="7"/>
      <c r="V305" s="7"/>
      <c r="W305" s="7"/>
    </row>
    <row r="306" spans="1:23" ht="15.75" customHeight="1" x14ac:dyDescent="0.2">
      <c r="A306" s="7"/>
      <c r="B306" s="55"/>
      <c r="C306" s="7"/>
      <c r="D306" s="7"/>
      <c r="E306" s="7"/>
      <c r="F306" s="7"/>
      <c r="G306" s="7"/>
      <c r="H306" s="55"/>
      <c r="I306" s="97"/>
      <c r="J306" s="97"/>
      <c r="K306" s="97"/>
      <c r="L306" s="97"/>
      <c r="M306" s="7"/>
      <c r="N306" s="7"/>
      <c r="O306" s="7"/>
      <c r="P306" s="7"/>
      <c r="Q306" s="7"/>
      <c r="R306" s="7"/>
      <c r="S306" s="7"/>
      <c r="T306" s="7"/>
      <c r="U306" s="7"/>
      <c r="V306" s="7"/>
      <c r="W306" s="7"/>
    </row>
    <row r="307" spans="1:23" ht="15.75" customHeight="1" x14ac:dyDescent="0.2">
      <c r="A307" s="7"/>
      <c r="B307" s="55"/>
      <c r="C307" s="7"/>
      <c r="D307" s="7"/>
      <c r="E307" s="7"/>
      <c r="F307" s="7"/>
      <c r="G307" s="7"/>
      <c r="H307" s="55"/>
      <c r="I307" s="97"/>
      <c r="J307" s="97"/>
      <c r="K307" s="97"/>
      <c r="L307" s="97"/>
      <c r="M307" s="7"/>
      <c r="N307" s="7"/>
      <c r="O307" s="7"/>
      <c r="P307" s="7"/>
      <c r="Q307" s="7"/>
      <c r="R307" s="7"/>
      <c r="S307" s="7"/>
      <c r="T307" s="7"/>
      <c r="U307" s="7"/>
      <c r="V307" s="7"/>
      <c r="W307" s="7"/>
    </row>
    <row r="308" spans="1:23" ht="15.75" customHeight="1" x14ac:dyDescent="0.2">
      <c r="A308" s="7"/>
      <c r="B308" s="55"/>
      <c r="C308" s="7"/>
      <c r="D308" s="7"/>
      <c r="E308" s="7"/>
      <c r="F308" s="7"/>
      <c r="G308" s="7"/>
      <c r="H308" s="55"/>
      <c r="I308" s="97"/>
      <c r="J308" s="97"/>
      <c r="K308" s="97"/>
      <c r="L308" s="97"/>
      <c r="M308" s="7"/>
      <c r="N308" s="7"/>
      <c r="O308" s="7"/>
      <c r="P308" s="7"/>
      <c r="Q308" s="7"/>
      <c r="R308" s="7"/>
      <c r="S308" s="7"/>
      <c r="T308" s="7"/>
      <c r="U308" s="7"/>
      <c r="V308" s="7"/>
      <c r="W308" s="7"/>
    </row>
    <row r="309" spans="1:23" ht="15.75" customHeight="1" x14ac:dyDescent="0.2">
      <c r="A309" s="7"/>
      <c r="B309" s="55"/>
      <c r="C309" s="7"/>
      <c r="D309" s="7"/>
      <c r="E309" s="7"/>
      <c r="F309" s="7"/>
      <c r="G309" s="7"/>
      <c r="H309" s="55"/>
      <c r="I309" s="97"/>
      <c r="J309" s="97"/>
      <c r="K309" s="97"/>
      <c r="L309" s="97"/>
      <c r="M309" s="7"/>
      <c r="N309" s="7"/>
      <c r="O309" s="7"/>
      <c r="P309" s="7"/>
      <c r="Q309" s="7"/>
      <c r="R309" s="7"/>
      <c r="S309" s="7"/>
      <c r="T309" s="7"/>
      <c r="U309" s="7"/>
      <c r="V309" s="7"/>
      <c r="W309" s="7"/>
    </row>
    <row r="310" spans="1:23" ht="15.75" customHeight="1" x14ac:dyDescent="0.2">
      <c r="A310" s="7"/>
      <c r="B310" s="55"/>
      <c r="C310" s="7"/>
      <c r="D310" s="7"/>
      <c r="E310" s="7"/>
      <c r="F310" s="7"/>
      <c r="G310" s="7"/>
      <c r="H310" s="55"/>
      <c r="I310" s="97"/>
      <c r="J310" s="97"/>
      <c r="K310" s="97"/>
      <c r="L310" s="97"/>
      <c r="M310" s="7"/>
      <c r="N310" s="7"/>
      <c r="O310" s="7"/>
      <c r="P310" s="7"/>
      <c r="Q310" s="7"/>
      <c r="R310" s="7"/>
      <c r="S310" s="7"/>
      <c r="T310" s="7"/>
      <c r="U310" s="7"/>
      <c r="V310" s="7"/>
      <c r="W310" s="7"/>
    </row>
    <row r="311" spans="1:23" ht="15.75" customHeight="1" x14ac:dyDescent="0.2">
      <c r="A311" s="7"/>
      <c r="B311" s="55"/>
      <c r="C311" s="7"/>
      <c r="D311" s="7"/>
      <c r="E311" s="7"/>
      <c r="F311" s="7"/>
      <c r="G311" s="7"/>
      <c r="H311" s="55"/>
      <c r="I311" s="97"/>
      <c r="J311" s="97"/>
      <c r="K311" s="97"/>
      <c r="L311" s="97"/>
      <c r="M311" s="7"/>
      <c r="N311" s="7"/>
      <c r="O311" s="7"/>
      <c r="P311" s="7"/>
      <c r="Q311" s="7"/>
      <c r="R311" s="7"/>
      <c r="S311" s="7"/>
      <c r="T311" s="7"/>
      <c r="U311" s="7"/>
      <c r="V311" s="7"/>
      <c r="W311" s="7"/>
    </row>
    <row r="312" spans="1:23" ht="15.75" customHeight="1" x14ac:dyDescent="0.2">
      <c r="A312" s="7"/>
      <c r="B312" s="55"/>
      <c r="C312" s="7"/>
      <c r="D312" s="7"/>
      <c r="E312" s="7"/>
      <c r="F312" s="7"/>
      <c r="G312" s="7"/>
      <c r="H312" s="55"/>
      <c r="I312" s="97"/>
      <c r="J312" s="97"/>
      <c r="K312" s="97"/>
      <c r="L312" s="97"/>
      <c r="M312" s="7"/>
      <c r="N312" s="7"/>
      <c r="O312" s="7"/>
      <c r="P312" s="7"/>
      <c r="Q312" s="7"/>
      <c r="R312" s="7"/>
      <c r="S312" s="7"/>
      <c r="T312" s="7"/>
      <c r="U312" s="7"/>
      <c r="V312" s="7"/>
      <c r="W312" s="7"/>
    </row>
    <row r="313" spans="1:23" ht="15.75" customHeight="1" x14ac:dyDescent="0.2">
      <c r="A313" s="7"/>
      <c r="B313" s="55"/>
      <c r="C313" s="7"/>
      <c r="D313" s="7"/>
      <c r="E313" s="7"/>
      <c r="F313" s="7"/>
      <c r="G313" s="7"/>
      <c r="H313" s="55"/>
      <c r="I313" s="97"/>
      <c r="J313" s="97"/>
      <c r="K313" s="97"/>
      <c r="L313" s="97"/>
      <c r="M313" s="7"/>
      <c r="N313" s="7"/>
      <c r="O313" s="7"/>
      <c r="P313" s="7"/>
      <c r="Q313" s="7"/>
      <c r="R313" s="7"/>
      <c r="S313" s="7"/>
      <c r="T313" s="7"/>
      <c r="U313" s="7"/>
      <c r="V313" s="7"/>
      <c r="W313" s="7"/>
    </row>
    <row r="314" spans="1:23" ht="15.75" customHeight="1" x14ac:dyDescent="0.2">
      <c r="A314" s="7"/>
      <c r="B314" s="55"/>
      <c r="C314" s="7"/>
      <c r="D314" s="7"/>
      <c r="E314" s="7"/>
      <c r="F314" s="7"/>
      <c r="G314" s="7"/>
      <c r="H314" s="55"/>
      <c r="I314" s="97"/>
      <c r="J314" s="97"/>
      <c r="K314" s="97"/>
      <c r="L314" s="97"/>
      <c r="M314" s="7"/>
      <c r="N314" s="7"/>
      <c r="O314" s="7"/>
      <c r="P314" s="7"/>
      <c r="Q314" s="7"/>
      <c r="R314" s="7"/>
      <c r="S314" s="7"/>
      <c r="T314" s="7"/>
      <c r="U314" s="7"/>
      <c r="V314" s="7"/>
      <c r="W314" s="7"/>
    </row>
    <row r="315" spans="1:23" ht="15.75" customHeight="1" x14ac:dyDescent="0.2">
      <c r="A315" s="7"/>
      <c r="B315" s="55"/>
      <c r="C315" s="7"/>
      <c r="D315" s="7"/>
      <c r="E315" s="7"/>
      <c r="F315" s="7"/>
      <c r="G315" s="7"/>
      <c r="H315" s="55"/>
      <c r="I315" s="97"/>
      <c r="J315" s="97"/>
      <c r="K315" s="97"/>
      <c r="L315" s="97"/>
      <c r="M315" s="7"/>
      <c r="N315" s="7"/>
      <c r="O315" s="7"/>
      <c r="P315" s="7"/>
      <c r="Q315" s="7"/>
      <c r="R315" s="7"/>
      <c r="S315" s="7"/>
      <c r="T315" s="7"/>
      <c r="U315" s="7"/>
      <c r="V315" s="7"/>
      <c r="W315" s="7"/>
    </row>
    <row r="316" spans="1:23" ht="15.75" customHeight="1" x14ac:dyDescent="0.2">
      <c r="A316" s="7"/>
      <c r="B316" s="55"/>
      <c r="C316" s="7"/>
      <c r="D316" s="7"/>
      <c r="E316" s="7"/>
      <c r="F316" s="7"/>
      <c r="G316" s="7"/>
      <c r="H316" s="55"/>
      <c r="I316" s="97"/>
      <c r="J316" s="97"/>
      <c r="K316" s="97"/>
      <c r="L316" s="97"/>
      <c r="M316" s="7"/>
      <c r="N316" s="7"/>
      <c r="O316" s="7"/>
      <c r="P316" s="7"/>
      <c r="Q316" s="7"/>
      <c r="R316" s="7"/>
      <c r="S316" s="7"/>
      <c r="T316" s="7"/>
      <c r="U316" s="7"/>
      <c r="V316" s="7"/>
      <c r="W316" s="7"/>
    </row>
    <row r="317" spans="1:23" ht="15.75" customHeight="1" x14ac:dyDescent="0.2">
      <c r="A317" s="7"/>
      <c r="B317" s="55"/>
      <c r="C317" s="7"/>
      <c r="D317" s="7"/>
      <c r="E317" s="7"/>
      <c r="F317" s="7"/>
      <c r="G317" s="7"/>
      <c r="H317" s="55"/>
      <c r="I317" s="97"/>
      <c r="J317" s="97"/>
      <c r="K317" s="97"/>
      <c r="L317" s="97"/>
      <c r="M317" s="7"/>
      <c r="N317" s="7"/>
      <c r="O317" s="7"/>
      <c r="P317" s="7"/>
      <c r="Q317" s="7"/>
      <c r="R317" s="7"/>
      <c r="S317" s="7"/>
      <c r="T317" s="7"/>
      <c r="U317" s="7"/>
      <c r="V317" s="7"/>
      <c r="W317" s="7"/>
    </row>
    <row r="318" spans="1:23" ht="15.75" customHeight="1" x14ac:dyDescent="0.2">
      <c r="A318" s="7"/>
      <c r="B318" s="55"/>
      <c r="C318" s="7"/>
      <c r="D318" s="7"/>
      <c r="E318" s="7"/>
      <c r="F318" s="7"/>
      <c r="G318" s="7"/>
      <c r="H318" s="55"/>
      <c r="I318" s="97"/>
      <c r="J318" s="97"/>
      <c r="K318" s="97"/>
      <c r="L318" s="97"/>
      <c r="M318" s="7"/>
      <c r="N318" s="7"/>
      <c r="O318" s="7"/>
      <c r="P318" s="7"/>
      <c r="Q318" s="7"/>
      <c r="R318" s="7"/>
      <c r="S318" s="7"/>
      <c r="T318" s="7"/>
      <c r="U318" s="7"/>
      <c r="V318" s="7"/>
      <c r="W318" s="7"/>
    </row>
    <row r="319" spans="1:23" ht="15.75" customHeight="1" x14ac:dyDescent="0.2">
      <c r="A319" s="7"/>
      <c r="B319" s="55"/>
      <c r="C319" s="7"/>
      <c r="D319" s="7"/>
      <c r="E319" s="7"/>
      <c r="F319" s="7"/>
      <c r="G319" s="7"/>
      <c r="H319" s="55"/>
      <c r="I319" s="97"/>
      <c r="J319" s="97"/>
      <c r="K319" s="97"/>
      <c r="L319" s="97"/>
      <c r="M319" s="7"/>
      <c r="N319" s="7"/>
      <c r="O319" s="7"/>
      <c r="P319" s="7"/>
      <c r="Q319" s="7"/>
      <c r="R319" s="7"/>
      <c r="S319" s="7"/>
      <c r="T319" s="7"/>
      <c r="U319" s="7"/>
      <c r="V319" s="7"/>
      <c r="W319" s="7"/>
    </row>
    <row r="320" spans="1:23" ht="15.75" customHeight="1" x14ac:dyDescent="0.2">
      <c r="A320" s="7"/>
      <c r="B320" s="55"/>
      <c r="C320" s="7"/>
      <c r="D320" s="7"/>
      <c r="E320" s="7"/>
      <c r="F320" s="7"/>
      <c r="G320" s="7"/>
      <c r="H320" s="55"/>
      <c r="I320" s="97"/>
      <c r="J320" s="97"/>
      <c r="K320" s="97"/>
      <c r="L320" s="97"/>
      <c r="M320" s="7"/>
      <c r="N320" s="7"/>
      <c r="O320" s="7"/>
      <c r="P320" s="7"/>
      <c r="Q320" s="7"/>
      <c r="R320" s="7"/>
      <c r="S320" s="7"/>
      <c r="T320" s="7"/>
      <c r="U320" s="7"/>
      <c r="V320" s="7"/>
      <c r="W320" s="7"/>
    </row>
    <row r="321" spans="1:23" ht="15.75" customHeight="1" x14ac:dyDescent="0.2">
      <c r="A321" s="7"/>
      <c r="B321" s="55"/>
      <c r="C321" s="7"/>
      <c r="D321" s="7"/>
      <c r="E321" s="7"/>
      <c r="F321" s="7"/>
      <c r="G321" s="7"/>
      <c r="H321" s="55"/>
      <c r="I321" s="97"/>
      <c r="J321" s="97"/>
      <c r="K321" s="97"/>
      <c r="L321" s="97"/>
      <c r="M321" s="7"/>
      <c r="N321" s="7"/>
      <c r="O321" s="7"/>
      <c r="P321" s="7"/>
      <c r="Q321" s="7"/>
      <c r="R321" s="7"/>
      <c r="S321" s="7"/>
      <c r="T321" s="7"/>
      <c r="U321" s="7"/>
      <c r="V321" s="7"/>
      <c r="W321" s="7"/>
    </row>
    <row r="322" spans="1:23" ht="15.75" customHeight="1" x14ac:dyDescent="0.2">
      <c r="A322" s="7"/>
      <c r="B322" s="55"/>
      <c r="C322" s="7"/>
      <c r="D322" s="7"/>
      <c r="E322" s="7"/>
      <c r="F322" s="7"/>
      <c r="G322" s="7"/>
      <c r="H322" s="55"/>
      <c r="I322" s="97"/>
      <c r="J322" s="97"/>
      <c r="K322" s="97"/>
      <c r="L322" s="97"/>
      <c r="M322" s="7"/>
      <c r="N322" s="7"/>
      <c r="O322" s="7"/>
      <c r="P322" s="7"/>
      <c r="Q322" s="7"/>
      <c r="R322" s="7"/>
      <c r="S322" s="7"/>
      <c r="T322" s="7"/>
      <c r="U322" s="7"/>
      <c r="V322" s="7"/>
      <c r="W322" s="7"/>
    </row>
    <row r="323" spans="1:23" ht="15.75" customHeight="1" x14ac:dyDescent="0.2">
      <c r="A323" s="7"/>
      <c r="B323" s="55"/>
      <c r="C323" s="7"/>
      <c r="D323" s="7"/>
      <c r="E323" s="7"/>
      <c r="F323" s="7"/>
      <c r="G323" s="7"/>
      <c r="H323" s="55"/>
      <c r="I323" s="97"/>
      <c r="J323" s="97"/>
      <c r="K323" s="97"/>
      <c r="L323" s="97"/>
      <c r="M323" s="7"/>
      <c r="N323" s="7"/>
      <c r="O323" s="7"/>
      <c r="P323" s="7"/>
      <c r="Q323" s="7"/>
      <c r="R323" s="7"/>
      <c r="S323" s="7"/>
      <c r="T323" s="7"/>
      <c r="U323" s="7"/>
      <c r="V323" s="7"/>
      <c r="W323" s="7"/>
    </row>
    <row r="324" spans="1:23" ht="15.75" customHeight="1" x14ac:dyDescent="0.2">
      <c r="A324" s="7"/>
      <c r="B324" s="55"/>
      <c r="C324" s="7"/>
      <c r="D324" s="7"/>
      <c r="E324" s="7"/>
      <c r="F324" s="7"/>
      <c r="G324" s="7"/>
      <c r="H324" s="55"/>
      <c r="I324" s="97"/>
      <c r="J324" s="97"/>
      <c r="K324" s="97"/>
      <c r="L324" s="97"/>
      <c r="M324" s="7"/>
      <c r="N324" s="7"/>
      <c r="O324" s="7"/>
      <c r="P324" s="7"/>
      <c r="Q324" s="7"/>
      <c r="R324" s="7"/>
      <c r="S324" s="7"/>
      <c r="T324" s="7"/>
      <c r="U324" s="7"/>
      <c r="V324" s="7"/>
      <c r="W324" s="7"/>
    </row>
    <row r="325" spans="1:23" ht="15.75" customHeight="1" x14ac:dyDescent="0.2">
      <c r="A325" s="7"/>
      <c r="B325" s="55"/>
      <c r="C325" s="7"/>
      <c r="D325" s="7"/>
      <c r="E325" s="7"/>
      <c r="F325" s="7"/>
      <c r="G325" s="7"/>
      <c r="H325" s="55"/>
      <c r="I325" s="97"/>
      <c r="J325" s="97"/>
      <c r="K325" s="97"/>
      <c r="L325" s="97"/>
      <c r="M325" s="7"/>
      <c r="N325" s="7"/>
      <c r="O325" s="7"/>
      <c r="P325" s="7"/>
      <c r="Q325" s="7"/>
      <c r="R325" s="7"/>
      <c r="S325" s="7"/>
      <c r="T325" s="7"/>
      <c r="U325" s="7"/>
      <c r="V325" s="7"/>
      <c r="W325" s="7"/>
    </row>
    <row r="326" spans="1:23" ht="15.75" customHeight="1" x14ac:dyDescent="0.2">
      <c r="A326" s="7"/>
      <c r="B326" s="55"/>
      <c r="C326" s="7"/>
      <c r="D326" s="7"/>
      <c r="E326" s="7"/>
      <c r="F326" s="7"/>
      <c r="G326" s="7"/>
      <c r="H326" s="55"/>
      <c r="I326" s="97"/>
      <c r="J326" s="97"/>
      <c r="K326" s="97"/>
      <c r="L326" s="97"/>
      <c r="M326" s="7"/>
      <c r="N326" s="7"/>
      <c r="O326" s="7"/>
      <c r="P326" s="7"/>
      <c r="Q326" s="7"/>
      <c r="R326" s="7"/>
      <c r="S326" s="7"/>
      <c r="T326" s="7"/>
      <c r="U326" s="7"/>
      <c r="V326" s="7"/>
      <c r="W326" s="7"/>
    </row>
    <row r="327" spans="1:23" ht="15.75" customHeight="1" x14ac:dyDescent="0.2">
      <c r="A327" s="7"/>
      <c r="B327" s="55"/>
      <c r="C327" s="7"/>
      <c r="D327" s="7"/>
      <c r="E327" s="7"/>
      <c r="F327" s="7"/>
      <c r="G327" s="7"/>
      <c r="H327" s="55"/>
      <c r="I327" s="97"/>
      <c r="J327" s="97"/>
      <c r="K327" s="97"/>
      <c r="L327" s="97"/>
      <c r="M327" s="7"/>
      <c r="N327" s="7"/>
      <c r="O327" s="7"/>
      <c r="P327" s="7"/>
      <c r="Q327" s="7"/>
      <c r="R327" s="7"/>
      <c r="S327" s="7"/>
      <c r="T327" s="7"/>
      <c r="U327" s="7"/>
      <c r="V327" s="7"/>
      <c r="W327" s="7"/>
    </row>
    <row r="328" spans="1:23" ht="15.75" customHeight="1" x14ac:dyDescent="0.2">
      <c r="A328" s="7"/>
      <c r="B328" s="55"/>
      <c r="C328" s="7"/>
      <c r="D328" s="7"/>
      <c r="E328" s="7"/>
      <c r="F328" s="7"/>
      <c r="G328" s="7"/>
      <c r="H328" s="55"/>
      <c r="I328" s="97"/>
      <c r="J328" s="97"/>
      <c r="K328" s="97"/>
      <c r="L328" s="97"/>
      <c r="M328" s="7"/>
      <c r="N328" s="7"/>
      <c r="O328" s="7"/>
      <c r="P328" s="7"/>
      <c r="Q328" s="7"/>
      <c r="R328" s="7"/>
      <c r="S328" s="7"/>
      <c r="T328" s="7"/>
      <c r="U328" s="7"/>
      <c r="V328" s="7"/>
      <c r="W328" s="7"/>
    </row>
    <row r="329" spans="1:23" ht="15.75" customHeight="1" x14ac:dyDescent="0.2">
      <c r="A329" s="7"/>
      <c r="B329" s="55"/>
      <c r="C329" s="7"/>
      <c r="D329" s="7"/>
      <c r="E329" s="7"/>
      <c r="F329" s="7"/>
      <c r="G329" s="7"/>
      <c r="H329" s="55"/>
      <c r="I329" s="97"/>
      <c r="J329" s="97"/>
      <c r="K329" s="97"/>
      <c r="L329" s="97"/>
      <c r="M329" s="7"/>
      <c r="N329" s="7"/>
      <c r="O329" s="7"/>
      <c r="P329" s="7"/>
      <c r="Q329" s="7"/>
      <c r="R329" s="7"/>
      <c r="S329" s="7"/>
      <c r="T329" s="7"/>
      <c r="U329" s="7"/>
      <c r="V329" s="7"/>
      <c r="W329" s="7"/>
    </row>
    <row r="330" spans="1:23" ht="15.75" customHeight="1" x14ac:dyDescent="0.2">
      <c r="A330" s="7"/>
      <c r="B330" s="55"/>
      <c r="C330" s="7"/>
      <c r="D330" s="7"/>
      <c r="E330" s="7"/>
      <c r="F330" s="7"/>
      <c r="G330" s="7"/>
      <c r="H330" s="55"/>
      <c r="I330" s="97"/>
      <c r="J330" s="97"/>
      <c r="K330" s="97"/>
      <c r="L330" s="97"/>
      <c r="M330" s="7"/>
      <c r="N330" s="7"/>
      <c r="O330" s="7"/>
      <c r="P330" s="7"/>
      <c r="Q330" s="7"/>
      <c r="R330" s="7"/>
      <c r="S330" s="7"/>
      <c r="T330" s="7"/>
      <c r="U330" s="7"/>
      <c r="V330" s="7"/>
      <c r="W330" s="7"/>
    </row>
    <row r="331" spans="1:23" ht="15.75" customHeight="1" x14ac:dyDescent="0.2">
      <c r="A331" s="7"/>
      <c r="B331" s="55"/>
      <c r="C331" s="7"/>
      <c r="D331" s="7"/>
      <c r="E331" s="7"/>
      <c r="F331" s="7"/>
      <c r="G331" s="7"/>
      <c r="H331" s="55"/>
      <c r="I331" s="97"/>
      <c r="J331" s="97"/>
      <c r="K331" s="97"/>
      <c r="L331" s="97"/>
      <c r="M331" s="7"/>
      <c r="N331" s="7"/>
      <c r="O331" s="7"/>
      <c r="P331" s="7"/>
      <c r="Q331" s="7"/>
      <c r="R331" s="7"/>
      <c r="S331" s="7"/>
      <c r="T331" s="7"/>
      <c r="U331" s="7"/>
      <c r="V331" s="7"/>
      <c r="W331" s="7"/>
    </row>
    <row r="332" spans="1:23" ht="15.75" customHeight="1" x14ac:dyDescent="0.2">
      <c r="A332" s="7"/>
      <c r="B332" s="55"/>
      <c r="C332" s="7"/>
      <c r="D332" s="7"/>
      <c r="E332" s="7"/>
      <c r="F332" s="7"/>
      <c r="G332" s="7"/>
      <c r="H332" s="55"/>
      <c r="I332" s="97"/>
      <c r="J332" s="97"/>
      <c r="K332" s="97"/>
      <c r="L332" s="97"/>
      <c r="M332" s="7"/>
      <c r="N332" s="7"/>
      <c r="O332" s="7"/>
      <c r="P332" s="7"/>
      <c r="Q332" s="7"/>
      <c r="R332" s="7"/>
      <c r="S332" s="7"/>
      <c r="T332" s="7"/>
      <c r="U332" s="7"/>
      <c r="V332" s="7"/>
      <c r="W332" s="7"/>
    </row>
    <row r="333" spans="1:23" ht="15.75" customHeight="1" x14ac:dyDescent="0.2">
      <c r="A333" s="7"/>
      <c r="B333" s="55"/>
      <c r="C333" s="7"/>
      <c r="D333" s="7"/>
      <c r="E333" s="7"/>
      <c r="F333" s="7"/>
      <c r="G333" s="7"/>
      <c r="H333" s="55"/>
      <c r="I333" s="97"/>
      <c r="J333" s="97"/>
      <c r="K333" s="97"/>
      <c r="L333" s="97"/>
      <c r="M333" s="7"/>
      <c r="N333" s="7"/>
      <c r="O333" s="7"/>
      <c r="P333" s="7"/>
      <c r="Q333" s="7"/>
      <c r="R333" s="7"/>
      <c r="S333" s="7"/>
      <c r="T333" s="7"/>
      <c r="U333" s="7"/>
      <c r="V333" s="7"/>
      <c r="W333" s="7"/>
    </row>
    <row r="334" spans="1:23" ht="15.75" customHeight="1" x14ac:dyDescent="0.2">
      <c r="A334" s="7"/>
      <c r="B334" s="55"/>
      <c r="C334" s="7"/>
      <c r="D334" s="7"/>
      <c r="E334" s="7"/>
      <c r="F334" s="7"/>
      <c r="G334" s="7"/>
      <c r="H334" s="55"/>
      <c r="I334" s="97"/>
      <c r="J334" s="97"/>
      <c r="K334" s="97"/>
      <c r="L334" s="97"/>
      <c r="M334" s="7"/>
      <c r="N334" s="7"/>
      <c r="O334" s="7"/>
      <c r="P334" s="7"/>
      <c r="Q334" s="7"/>
      <c r="R334" s="7"/>
      <c r="S334" s="7"/>
      <c r="T334" s="7"/>
      <c r="U334" s="7"/>
      <c r="V334" s="7"/>
      <c r="W334" s="7"/>
    </row>
    <row r="335" spans="1:23" ht="15.75" customHeight="1" x14ac:dyDescent="0.2">
      <c r="A335" s="7"/>
      <c r="B335" s="55"/>
      <c r="C335" s="7"/>
      <c r="D335" s="7"/>
      <c r="E335" s="7"/>
      <c r="F335" s="7"/>
      <c r="G335" s="7"/>
      <c r="H335" s="55"/>
      <c r="I335" s="97"/>
      <c r="J335" s="97"/>
      <c r="K335" s="97"/>
      <c r="L335" s="97"/>
      <c r="M335" s="7"/>
      <c r="N335" s="7"/>
      <c r="O335" s="7"/>
      <c r="P335" s="7"/>
      <c r="Q335" s="7"/>
      <c r="R335" s="7"/>
      <c r="S335" s="7"/>
      <c r="T335" s="7"/>
      <c r="U335" s="7"/>
      <c r="V335" s="7"/>
      <c r="W335" s="7"/>
    </row>
    <row r="336" spans="1:23" ht="15.75" customHeight="1" x14ac:dyDescent="0.2">
      <c r="A336" s="7"/>
      <c r="B336" s="55"/>
      <c r="C336" s="7"/>
      <c r="D336" s="7"/>
      <c r="E336" s="7"/>
      <c r="F336" s="7"/>
      <c r="G336" s="7"/>
      <c r="H336" s="55"/>
      <c r="I336" s="97"/>
      <c r="J336" s="97"/>
      <c r="K336" s="97"/>
      <c r="L336" s="97"/>
      <c r="M336" s="7"/>
      <c r="N336" s="7"/>
      <c r="O336" s="7"/>
      <c r="P336" s="7"/>
      <c r="Q336" s="7"/>
      <c r="R336" s="7"/>
      <c r="S336" s="7"/>
      <c r="T336" s="7"/>
      <c r="U336" s="7"/>
      <c r="V336" s="7"/>
      <c r="W336" s="7"/>
    </row>
    <row r="337" spans="1:23" ht="15.75" customHeight="1" x14ac:dyDescent="0.2">
      <c r="A337" s="7"/>
      <c r="B337" s="55"/>
      <c r="C337" s="7"/>
      <c r="D337" s="7"/>
      <c r="E337" s="7"/>
      <c r="F337" s="7"/>
      <c r="G337" s="7"/>
      <c r="H337" s="55"/>
      <c r="I337" s="97"/>
      <c r="J337" s="97"/>
      <c r="K337" s="97"/>
      <c r="L337" s="97"/>
      <c r="M337" s="7"/>
      <c r="N337" s="7"/>
      <c r="O337" s="7"/>
      <c r="P337" s="7"/>
      <c r="Q337" s="7"/>
      <c r="R337" s="7"/>
      <c r="S337" s="7"/>
      <c r="T337" s="7"/>
      <c r="U337" s="7"/>
      <c r="V337" s="7"/>
      <c r="W337" s="7"/>
    </row>
    <row r="338" spans="1:23" ht="15.75" customHeight="1" x14ac:dyDescent="0.2">
      <c r="A338" s="7"/>
      <c r="B338" s="55"/>
      <c r="C338" s="7"/>
      <c r="D338" s="7"/>
      <c r="E338" s="7"/>
      <c r="F338" s="7"/>
      <c r="G338" s="7"/>
      <c r="H338" s="55"/>
      <c r="I338" s="97"/>
      <c r="J338" s="97"/>
      <c r="K338" s="97"/>
      <c r="L338" s="97"/>
      <c r="M338" s="7"/>
      <c r="N338" s="7"/>
      <c r="O338" s="7"/>
      <c r="P338" s="7"/>
      <c r="Q338" s="7"/>
      <c r="R338" s="7"/>
      <c r="S338" s="7"/>
      <c r="T338" s="7"/>
      <c r="U338" s="7"/>
      <c r="V338" s="7"/>
      <c r="W338" s="7"/>
    </row>
    <row r="339" spans="1:23" ht="15.75" customHeight="1" x14ac:dyDescent="0.2">
      <c r="A339" s="7"/>
      <c r="B339" s="55"/>
      <c r="C339" s="7"/>
      <c r="D339" s="7"/>
      <c r="E339" s="7"/>
      <c r="F339" s="7"/>
      <c r="G339" s="7"/>
      <c r="H339" s="55"/>
      <c r="I339" s="97"/>
      <c r="J339" s="97"/>
      <c r="K339" s="97"/>
      <c r="L339" s="97"/>
      <c r="M339" s="7"/>
      <c r="N339" s="7"/>
      <c r="O339" s="7"/>
      <c r="P339" s="7"/>
      <c r="Q339" s="7"/>
      <c r="R339" s="7"/>
      <c r="S339" s="7"/>
      <c r="T339" s="7"/>
      <c r="U339" s="7"/>
      <c r="V339" s="7"/>
      <c r="W339" s="7"/>
    </row>
    <row r="340" spans="1:23" ht="15.75" customHeight="1" x14ac:dyDescent="0.2">
      <c r="A340" s="7"/>
      <c r="B340" s="55"/>
      <c r="C340" s="7"/>
      <c r="D340" s="7"/>
      <c r="E340" s="7"/>
      <c r="F340" s="7"/>
      <c r="G340" s="7"/>
      <c r="H340" s="55"/>
      <c r="I340" s="97"/>
      <c r="J340" s="97"/>
      <c r="K340" s="97"/>
      <c r="L340" s="97"/>
      <c r="M340" s="7"/>
      <c r="N340" s="7"/>
      <c r="O340" s="7"/>
      <c r="P340" s="7"/>
      <c r="Q340" s="7"/>
      <c r="R340" s="7"/>
      <c r="S340" s="7"/>
      <c r="T340" s="7"/>
      <c r="U340" s="7"/>
      <c r="V340" s="7"/>
      <c r="W340" s="7"/>
    </row>
    <row r="341" spans="1:23" ht="15.75" customHeight="1" x14ac:dyDescent="0.2">
      <c r="A341" s="7"/>
      <c r="B341" s="55"/>
      <c r="C341" s="7"/>
      <c r="D341" s="7"/>
      <c r="E341" s="7"/>
      <c r="F341" s="7"/>
      <c r="G341" s="7"/>
      <c r="H341" s="55"/>
      <c r="I341" s="97"/>
      <c r="J341" s="97"/>
      <c r="K341" s="97"/>
      <c r="L341" s="97"/>
      <c r="M341" s="7"/>
      <c r="N341" s="7"/>
      <c r="O341" s="7"/>
      <c r="P341" s="7"/>
      <c r="Q341" s="7"/>
      <c r="R341" s="7"/>
      <c r="S341" s="7"/>
      <c r="T341" s="7"/>
      <c r="U341" s="7"/>
      <c r="V341" s="7"/>
      <c r="W341" s="7"/>
    </row>
    <row r="342" spans="1:23" ht="15.75" customHeight="1" x14ac:dyDescent="0.2">
      <c r="A342" s="7"/>
      <c r="B342" s="55"/>
      <c r="C342" s="7"/>
      <c r="D342" s="7"/>
      <c r="E342" s="7"/>
      <c r="F342" s="7"/>
      <c r="G342" s="7"/>
      <c r="H342" s="55"/>
      <c r="I342" s="97"/>
      <c r="J342" s="97"/>
      <c r="K342" s="97"/>
      <c r="L342" s="97"/>
      <c r="M342" s="7"/>
      <c r="N342" s="7"/>
      <c r="O342" s="7"/>
      <c r="P342" s="7"/>
      <c r="Q342" s="7"/>
      <c r="R342" s="7"/>
      <c r="S342" s="7"/>
      <c r="T342" s="7"/>
      <c r="U342" s="7"/>
      <c r="V342" s="7"/>
      <c r="W342" s="7"/>
    </row>
    <row r="343" spans="1:23" ht="15.75" customHeight="1" x14ac:dyDescent="0.2">
      <c r="A343" s="7"/>
      <c r="B343" s="55"/>
      <c r="C343" s="7"/>
      <c r="D343" s="7"/>
      <c r="E343" s="7"/>
      <c r="F343" s="7"/>
      <c r="G343" s="7"/>
      <c r="H343" s="55"/>
      <c r="I343" s="97"/>
      <c r="J343" s="97"/>
      <c r="K343" s="97"/>
      <c r="L343" s="97"/>
      <c r="M343" s="7"/>
      <c r="N343" s="7"/>
      <c r="O343" s="7"/>
      <c r="P343" s="7"/>
      <c r="Q343" s="7"/>
      <c r="R343" s="7"/>
      <c r="S343" s="7"/>
      <c r="T343" s="7"/>
      <c r="U343" s="7"/>
      <c r="V343" s="7"/>
      <c r="W343" s="7"/>
    </row>
    <row r="344" spans="1:23" ht="15.75" customHeight="1" x14ac:dyDescent="0.2">
      <c r="A344" s="7"/>
      <c r="B344" s="55"/>
      <c r="C344" s="7"/>
      <c r="D344" s="7"/>
      <c r="E344" s="7"/>
      <c r="F344" s="7"/>
      <c r="G344" s="7"/>
      <c r="H344" s="55"/>
      <c r="I344" s="97"/>
      <c r="J344" s="97"/>
      <c r="K344" s="97"/>
      <c r="L344" s="97"/>
      <c r="M344" s="7"/>
      <c r="N344" s="7"/>
      <c r="O344" s="7"/>
      <c r="P344" s="7"/>
      <c r="Q344" s="7"/>
      <c r="R344" s="7"/>
      <c r="S344" s="7"/>
      <c r="T344" s="7"/>
      <c r="U344" s="7"/>
      <c r="V344" s="7"/>
      <c r="W344" s="7"/>
    </row>
    <row r="345" spans="1:23" ht="15.75" customHeight="1" x14ac:dyDescent="0.2">
      <c r="A345" s="7"/>
      <c r="B345" s="55"/>
      <c r="C345" s="7"/>
      <c r="D345" s="7"/>
      <c r="E345" s="7"/>
      <c r="F345" s="7"/>
      <c r="G345" s="7"/>
      <c r="H345" s="55"/>
      <c r="I345" s="97"/>
      <c r="J345" s="97"/>
      <c r="K345" s="97"/>
      <c r="L345" s="97"/>
      <c r="M345" s="7"/>
      <c r="N345" s="7"/>
      <c r="O345" s="7"/>
      <c r="P345" s="7"/>
      <c r="Q345" s="7"/>
      <c r="R345" s="7"/>
      <c r="S345" s="7"/>
      <c r="T345" s="7"/>
      <c r="U345" s="7"/>
      <c r="V345" s="7"/>
      <c r="W345" s="7"/>
    </row>
    <row r="346" spans="1:23" ht="15.75" customHeight="1" x14ac:dyDescent="0.2">
      <c r="A346" s="7"/>
      <c r="B346" s="55"/>
      <c r="C346" s="7"/>
      <c r="D346" s="7"/>
      <c r="E346" s="7"/>
      <c r="F346" s="7"/>
      <c r="G346" s="7"/>
      <c r="H346" s="55"/>
      <c r="I346" s="97"/>
      <c r="J346" s="97"/>
      <c r="K346" s="97"/>
      <c r="L346" s="97"/>
      <c r="M346" s="7"/>
      <c r="N346" s="7"/>
      <c r="O346" s="7"/>
      <c r="P346" s="7"/>
      <c r="Q346" s="7"/>
      <c r="R346" s="7"/>
      <c r="S346" s="7"/>
      <c r="T346" s="7"/>
      <c r="U346" s="7"/>
      <c r="V346" s="7"/>
      <c r="W346" s="7"/>
    </row>
    <row r="347" spans="1:23" ht="15.75" customHeight="1" x14ac:dyDescent="0.2">
      <c r="A347" s="7"/>
      <c r="B347" s="55"/>
      <c r="C347" s="7"/>
      <c r="D347" s="7"/>
      <c r="E347" s="7"/>
      <c r="F347" s="7"/>
      <c r="G347" s="7"/>
      <c r="H347" s="55"/>
      <c r="I347" s="97"/>
      <c r="J347" s="97"/>
      <c r="K347" s="97"/>
      <c r="L347" s="97"/>
      <c r="M347" s="7"/>
      <c r="N347" s="7"/>
      <c r="O347" s="7"/>
      <c r="P347" s="7"/>
      <c r="Q347" s="7"/>
      <c r="R347" s="7"/>
      <c r="S347" s="7"/>
      <c r="T347" s="7"/>
      <c r="U347" s="7"/>
      <c r="V347" s="7"/>
      <c r="W347" s="7"/>
    </row>
    <row r="348" spans="1:23" ht="15.75" customHeight="1" x14ac:dyDescent="0.2">
      <c r="A348" s="7"/>
      <c r="B348" s="55"/>
      <c r="C348" s="7"/>
      <c r="D348" s="7"/>
      <c r="E348" s="7"/>
      <c r="F348" s="7"/>
      <c r="G348" s="7"/>
      <c r="H348" s="55"/>
      <c r="I348" s="97"/>
      <c r="J348" s="97"/>
      <c r="K348" s="97"/>
      <c r="L348" s="97"/>
      <c r="M348" s="7"/>
      <c r="N348" s="7"/>
      <c r="O348" s="7"/>
      <c r="P348" s="7"/>
      <c r="Q348" s="7"/>
      <c r="R348" s="7"/>
      <c r="S348" s="7"/>
      <c r="T348" s="7"/>
      <c r="U348" s="7"/>
      <c r="V348" s="7"/>
      <c r="W348" s="7"/>
    </row>
    <row r="349" spans="1:23" ht="15.75" customHeight="1" x14ac:dyDescent="0.2">
      <c r="A349" s="7"/>
      <c r="B349" s="55"/>
      <c r="C349" s="7"/>
      <c r="D349" s="7"/>
      <c r="E349" s="7"/>
      <c r="F349" s="7"/>
      <c r="G349" s="7"/>
      <c r="H349" s="55"/>
      <c r="I349" s="97"/>
      <c r="J349" s="97"/>
      <c r="K349" s="97"/>
      <c r="L349" s="97"/>
      <c r="M349" s="7"/>
      <c r="N349" s="7"/>
      <c r="O349" s="7"/>
      <c r="P349" s="7"/>
      <c r="Q349" s="7"/>
      <c r="R349" s="7"/>
      <c r="S349" s="7"/>
      <c r="T349" s="7"/>
      <c r="U349" s="7"/>
      <c r="V349" s="7"/>
      <c r="W349" s="7"/>
    </row>
    <row r="350" spans="1:23" ht="15.75" customHeight="1" x14ac:dyDescent="0.2">
      <c r="A350" s="7"/>
      <c r="B350" s="55"/>
      <c r="C350" s="7"/>
      <c r="D350" s="7"/>
      <c r="E350" s="7"/>
      <c r="F350" s="7"/>
      <c r="G350" s="7"/>
      <c r="H350" s="55"/>
      <c r="I350" s="97"/>
      <c r="J350" s="97"/>
      <c r="K350" s="97"/>
      <c r="L350" s="97"/>
      <c r="M350" s="7"/>
      <c r="N350" s="7"/>
      <c r="O350" s="7"/>
      <c r="P350" s="7"/>
      <c r="Q350" s="7"/>
      <c r="R350" s="7"/>
      <c r="S350" s="7"/>
      <c r="T350" s="7"/>
      <c r="U350" s="7"/>
      <c r="V350" s="7"/>
      <c r="W350" s="7"/>
    </row>
    <row r="351" spans="1:23" ht="15.75" customHeight="1" x14ac:dyDescent="0.2">
      <c r="A351" s="7"/>
      <c r="B351" s="55"/>
      <c r="C351" s="7"/>
      <c r="D351" s="7"/>
      <c r="E351" s="7"/>
      <c r="F351" s="7"/>
      <c r="G351" s="7"/>
      <c r="H351" s="55"/>
      <c r="I351" s="97"/>
      <c r="J351" s="97"/>
      <c r="K351" s="97"/>
      <c r="L351" s="97"/>
      <c r="M351" s="7"/>
      <c r="N351" s="7"/>
      <c r="O351" s="7"/>
      <c r="P351" s="7"/>
      <c r="Q351" s="7"/>
      <c r="R351" s="7"/>
      <c r="S351" s="7"/>
      <c r="T351" s="7"/>
      <c r="U351" s="7"/>
      <c r="V351" s="7"/>
      <c r="W351" s="7"/>
    </row>
    <row r="352" spans="1:23" ht="15.75" customHeight="1" x14ac:dyDescent="0.2">
      <c r="A352" s="7"/>
      <c r="B352" s="55"/>
      <c r="C352" s="7"/>
      <c r="D352" s="7"/>
      <c r="E352" s="7"/>
      <c r="F352" s="7"/>
      <c r="G352" s="7"/>
      <c r="H352" s="55"/>
      <c r="I352" s="97"/>
      <c r="J352" s="97"/>
      <c r="K352" s="97"/>
      <c r="L352" s="97"/>
      <c r="M352" s="7"/>
      <c r="N352" s="7"/>
      <c r="O352" s="7"/>
      <c r="P352" s="7"/>
      <c r="Q352" s="7"/>
      <c r="R352" s="7"/>
      <c r="S352" s="7"/>
      <c r="T352" s="7"/>
      <c r="U352" s="7"/>
      <c r="V352" s="7"/>
      <c r="W352" s="7"/>
    </row>
    <row r="353" spans="1:23" ht="15.75" customHeight="1" x14ac:dyDescent="0.2">
      <c r="A353" s="7"/>
      <c r="B353" s="55"/>
      <c r="C353" s="7"/>
      <c r="D353" s="7"/>
      <c r="E353" s="7"/>
      <c r="F353" s="7"/>
      <c r="G353" s="7"/>
      <c r="H353" s="55"/>
      <c r="I353" s="97"/>
      <c r="J353" s="97"/>
      <c r="K353" s="97"/>
      <c r="L353" s="97"/>
      <c r="M353" s="7"/>
      <c r="N353" s="7"/>
      <c r="O353" s="7"/>
      <c r="P353" s="7"/>
      <c r="Q353" s="7"/>
      <c r="R353" s="7"/>
      <c r="S353" s="7"/>
      <c r="T353" s="7"/>
      <c r="U353" s="7"/>
      <c r="V353" s="7"/>
      <c r="W353" s="7"/>
    </row>
    <row r="354" spans="1:23" ht="15.75" customHeight="1" x14ac:dyDescent="0.2">
      <c r="A354" s="7"/>
      <c r="B354" s="55"/>
      <c r="C354" s="7"/>
      <c r="D354" s="7"/>
      <c r="E354" s="7"/>
      <c r="F354" s="7"/>
      <c r="G354" s="7"/>
      <c r="H354" s="55"/>
      <c r="I354" s="97"/>
      <c r="J354" s="97"/>
      <c r="K354" s="97"/>
      <c r="L354" s="97"/>
      <c r="M354" s="7"/>
      <c r="N354" s="7"/>
      <c r="O354" s="7"/>
      <c r="P354" s="7"/>
      <c r="Q354" s="7"/>
      <c r="R354" s="7"/>
      <c r="S354" s="7"/>
      <c r="T354" s="7"/>
      <c r="U354" s="7"/>
      <c r="V354" s="7"/>
      <c r="W354" s="7"/>
    </row>
    <row r="355" spans="1:23" ht="15.75" customHeight="1" x14ac:dyDescent="0.2">
      <c r="A355" s="7"/>
      <c r="B355" s="55"/>
      <c r="C355" s="7"/>
      <c r="D355" s="7"/>
      <c r="E355" s="7"/>
      <c r="F355" s="7"/>
      <c r="G355" s="7"/>
      <c r="H355" s="55"/>
      <c r="I355" s="97"/>
      <c r="J355" s="97"/>
      <c r="K355" s="97"/>
      <c r="L355" s="97"/>
      <c r="M355" s="7"/>
      <c r="N355" s="7"/>
      <c r="O355" s="7"/>
      <c r="P355" s="7"/>
      <c r="Q355" s="7"/>
      <c r="R355" s="7"/>
      <c r="S355" s="7"/>
      <c r="T355" s="7"/>
      <c r="U355" s="7"/>
      <c r="V355" s="7"/>
      <c r="W355" s="7"/>
    </row>
    <row r="356" spans="1:23" ht="15.75" customHeight="1" x14ac:dyDescent="0.2">
      <c r="A356" s="7"/>
      <c r="B356" s="55"/>
      <c r="C356" s="7"/>
      <c r="D356" s="7"/>
      <c r="E356" s="7"/>
      <c r="F356" s="7"/>
      <c r="G356" s="7"/>
      <c r="H356" s="55"/>
      <c r="I356" s="97"/>
      <c r="J356" s="97"/>
      <c r="K356" s="97"/>
      <c r="L356" s="97"/>
      <c r="M356" s="7"/>
      <c r="N356" s="7"/>
      <c r="O356" s="7"/>
      <c r="P356" s="7"/>
      <c r="Q356" s="7"/>
      <c r="R356" s="7"/>
      <c r="S356" s="7"/>
      <c r="T356" s="7"/>
      <c r="U356" s="7"/>
      <c r="V356" s="7"/>
      <c r="W356" s="7"/>
    </row>
    <row r="357" spans="1:23" ht="15.75" customHeight="1" x14ac:dyDescent="0.2">
      <c r="A357" s="7"/>
      <c r="B357" s="55"/>
      <c r="C357" s="7"/>
      <c r="D357" s="7"/>
      <c r="E357" s="7"/>
      <c r="F357" s="7"/>
      <c r="G357" s="7"/>
      <c r="H357" s="55"/>
      <c r="I357" s="97"/>
      <c r="J357" s="97"/>
      <c r="K357" s="97"/>
      <c r="L357" s="97"/>
      <c r="M357" s="7"/>
      <c r="N357" s="7"/>
      <c r="O357" s="7"/>
      <c r="P357" s="7"/>
      <c r="Q357" s="7"/>
      <c r="R357" s="7"/>
      <c r="S357" s="7"/>
      <c r="T357" s="7"/>
      <c r="U357" s="7"/>
      <c r="V357" s="7"/>
      <c r="W357" s="7"/>
    </row>
    <row r="358" spans="1:23" ht="15.75" customHeight="1" x14ac:dyDescent="0.2">
      <c r="A358" s="7"/>
      <c r="B358" s="55"/>
      <c r="C358" s="7"/>
      <c r="D358" s="7"/>
      <c r="E358" s="7"/>
      <c r="F358" s="7"/>
      <c r="G358" s="7"/>
      <c r="H358" s="55"/>
      <c r="I358" s="97"/>
      <c r="J358" s="97"/>
      <c r="K358" s="97"/>
      <c r="L358" s="97"/>
      <c r="M358" s="7"/>
      <c r="N358" s="7"/>
      <c r="O358" s="7"/>
      <c r="P358" s="7"/>
      <c r="Q358" s="7"/>
      <c r="R358" s="7"/>
      <c r="S358" s="7"/>
      <c r="T358" s="7"/>
      <c r="U358" s="7"/>
      <c r="V358" s="7"/>
      <c r="W358" s="7"/>
    </row>
    <row r="359" spans="1:23" ht="15.75" customHeight="1" x14ac:dyDescent="0.2">
      <c r="A359" s="7"/>
      <c r="B359" s="55"/>
      <c r="C359" s="7"/>
      <c r="D359" s="7"/>
      <c r="E359" s="7"/>
      <c r="F359" s="7"/>
      <c r="G359" s="7"/>
      <c r="H359" s="55"/>
      <c r="I359" s="97"/>
      <c r="J359" s="97"/>
      <c r="K359" s="97"/>
      <c r="L359" s="97"/>
      <c r="M359" s="7"/>
      <c r="N359" s="7"/>
      <c r="O359" s="7"/>
      <c r="P359" s="7"/>
      <c r="Q359" s="7"/>
      <c r="R359" s="7"/>
      <c r="S359" s="7"/>
      <c r="T359" s="7"/>
      <c r="U359" s="7"/>
      <c r="V359" s="7"/>
      <c r="W359" s="7"/>
    </row>
    <row r="360" spans="1:23" ht="15.75" customHeight="1" x14ac:dyDescent="0.2">
      <c r="A360" s="7"/>
      <c r="B360" s="55"/>
      <c r="C360" s="7"/>
      <c r="D360" s="7"/>
      <c r="E360" s="7"/>
      <c r="F360" s="7"/>
      <c r="G360" s="7"/>
      <c r="H360" s="55"/>
      <c r="I360" s="97"/>
      <c r="J360" s="97"/>
      <c r="K360" s="97"/>
      <c r="L360" s="97"/>
      <c r="M360" s="7"/>
      <c r="N360" s="7"/>
      <c r="O360" s="7"/>
      <c r="P360" s="7"/>
      <c r="Q360" s="7"/>
      <c r="R360" s="7"/>
      <c r="S360" s="7"/>
      <c r="T360" s="7"/>
      <c r="U360" s="7"/>
      <c r="V360" s="7"/>
      <c r="W360" s="7"/>
    </row>
    <row r="361" spans="1:23" ht="15.75" customHeight="1" x14ac:dyDescent="0.2">
      <c r="A361" s="7"/>
      <c r="B361" s="55"/>
      <c r="C361" s="7"/>
      <c r="D361" s="7"/>
      <c r="E361" s="7"/>
      <c r="F361" s="7"/>
      <c r="G361" s="7"/>
      <c r="H361" s="55"/>
      <c r="I361" s="97"/>
      <c r="J361" s="97"/>
      <c r="K361" s="97"/>
      <c r="L361" s="97"/>
      <c r="M361" s="7"/>
      <c r="N361" s="7"/>
      <c r="O361" s="7"/>
      <c r="P361" s="7"/>
      <c r="Q361" s="7"/>
      <c r="R361" s="7"/>
      <c r="S361" s="7"/>
      <c r="T361" s="7"/>
      <c r="U361" s="7"/>
      <c r="V361" s="7"/>
      <c r="W361" s="7"/>
    </row>
    <row r="362" spans="1:23" ht="15.75" customHeight="1" x14ac:dyDescent="0.2">
      <c r="A362" s="7"/>
      <c r="B362" s="55"/>
      <c r="C362" s="7"/>
      <c r="D362" s="7"/>
      <c r="E362" s="7"/>
      <c r="F362" s="7"/>
      <c r="G362" s="7"/>
      <c r="H362" s="55"/>
      <c r="I362" s="97"/>
      <c r="J362" s="97"/>
      <c r="K362" s="97"/>
      <c r="L362" s="97"/>
      <c r="M362" s="7"/>
      <c r="N362" s="7"/>
      <c r="O362" s="7"/>
      <c r="P362" s="7"/>
      <c r="Q362" s="7"/>
      <c r="R362" s="7"/>
      <c r="S362" s="7"/>
      <c r="T362" s="7"/>
      <c r="U362" s="7"/>
      <c r="V362" s="7"/>
      <c r="W362" s="7"/>
    </row>
    <row r="363" spans="1:23" ht="15.75" customHeight="1" x14ac:dyDescent="0.2">
      <c r="A363" s="7"/>
      <c r="B363" s="55"/>
      <c r="C363" s="7"/>
      <c r="D363" s="7"/>
      <c r="E363" s="7"/>
      <c r="F363" s="7"/>
      <c r="G363" s="7"/>
      <c r="H363" s="55"/>
      <c r="I363" s="97"/>
      <c r="J363" s="97"/>
      <c r="K363" s="97"/>
      <c r="L363" s="97"/>
      <c r="M363" s="7"/>
      <c r="N363" s="7"/>
      <c r="O363" s="7"/>
      <c r="P363" s="7"/>
      <c r="Q363" s="7"/>
      <c r="R363" s="7"/>
      <c r="S363" s="7"/>
      <c r="T363" s="7"/>
      <c r="U363" s="7"/>
      <c r="V363" s="7"/>
      <c r="W363" s="7"/>
    </row>
    <row r="364" spans="1:23" ht="15.75" customHeight="1" x14ac:dyDescent="0.2">
      <c r="A364" s="7"/>
      <c r="B364" s="55"/>
      <c r="C364" s="7"/>
      <c r="D364" s="7"/>
      <c r="E364" s="7"/>
      <c r="F364" s="7"/>
      <c r="G364" s="7"/>
      <c r="H364" s="55"/>
      <c r="I364" s="97"/>
      <c r="J364" s="97"/>
      <c r="K364" s="97"/>
      <c r="L364" s="97"/>
      <c r="M364" s="7"/>
      <c r="N364" s="7"/>
      <c r="O364" s="7"/>
      <c r="P364" s="7"/>
      <c r="Q364" s="7"/>
      <c r="R364" s="7"/>
      <c r="S364" s="7"/>
      <c r="T364" s="7"/>
      <c r="U364" s="7"/>
      <c r="V364" s="7"/>
      <c r="W364" s="7"/>
    </row>
    <row r="365" spans="1:23" ht="15.75" customHeight="1" x14ac:dyDescent="0.2">
      <c r="A365" s="7"/>
      <c r="B365" s="55"/>
      <c r="C365" s="7"/>
      <c r="D365" s="7"/>
      <c r="E365" s="7"/>
      <c r="F365" s="7"/>
      <c r="G365" s="7"/>
      <c r="H365" s="55"/>
      <c r="I365" s="97"/>
      <c r="J365" s="97"/>
      <c r="K365" s="97"/>
      <c r="L365" s="97"/>
      <c r="M365" s="7"/>
      <c r="N365" s="7"/>
      <c r="O365" s="7"/>
      <c r="P365" s="7"/>
      <c r="Q365" s="7"/>
      <c r="R365" s="7"/>
      <c r="S365" s="7"/>
      <c r="T365" s="7"/>
      <c r="U365" s="7"/>
      <c r="V365" s="7"/>
      <c r="W365" s="7"/>
    </row>
    <row r="366" spans="1:23" ht="15.75" customHeight="1" x14ac:dyDescent="0.2">
      <c r="A366" s="7"/>
      <c r="B366" s="55"/>
      <c r="C366" s="7"/>
      <c r="D366" s="7"/>
      <c r="E366" s="7"/>
      <c r="F366" s="7"/>
      <c r="G366" s="7"/>
      <c r="H366" s="55"/>
      <c r="I366" s="97"/>
      <c r="J366" s="97"/>
      <c r="K366" s="97"/>
      <c r="L366" s="97"/>
      <c r="M366" s="7"/>
      <c r="N366" s="7"/>
      <c r="O366" s="7"/>
      <c r="P366" s="7"/>
      <c r="Q366" s="7"/>
      <c r="R366" s="7"/>
      <c r="S366" s="7"/>
      <c r="T366" s="7"/>
      <c r="U366" s="7"/>
      <c r="V366" s="7"/>
      <c r="W366" s="7"/>
    </row>
    <row r="367" spans="1:23" ht="15.75" customHeight="1" x14ac:dyDescent="0.2">
      <c r="A367" s="7"/>
      <c r="B367" s="55"/>
      <c r="C367" s="7"/>
      <c r="D367" s="7"/>
      <c r="E367" s="7"/>
      <c r="F367" s="7"/>
      <c r="G367" s="7"/>
      <c r="H367" s="55"/>
      <c r="I367" s="97"/>
      <c r="J367" s="97"/>
      <c r="K367" s="97"/>
      <c r="L367" s="97"/>
      <c r="M367" s="7"/>
      <c r="N367" s="7"/>
      <c r="O367" s="7"/>
      <c r="P367" s="7"/>
      <c r="Q367" s="7"/>
      <c r="R367" s="7"/>
      <c r="S367" s="7"/>
      <c r="T367" s="7"/>
      <c r="U367" s="7"/>
      <c r="V367" s="7"/>
      <c r="W367" s="7"/>
    </row>
    <row r="368" spans="1:23" ht="15.75" customHeight="1" x14ac:dyDescent="0.2">
      <c r="A368" s="7"/>
      <c r="B368" s="55"/>
      <c r="C368" s="7"/>
      <c r="D368" s="7"/>
      <c r="E368" s="7"/>
      <c r="F368" s="7"/>
      <c r="G368" s="7"/>
      <c r="H368" s="55"/>
      <c r="I368" s="97"/>
      <c r="J368" s="97"/>
      <c r="K368" s="97"/>
      <c r="L368" s="97"/>
      <c r="M368" s="7"/>
      <c r="N368" s="7"/>
      <c r="O368" s="7"/>
      <c r="P368" s="7"/>
      <c r="Q368" s="7"/>
      <c r="R368" s="7"/>
      <c r="S368" s="7"/>
      <c r="T368" s="7"/>
      <c r="U368" s="7"/>
      <c r="V368" s="7"/>
      <c r="W368" s="7"/>
    </row>
    <row r="369" spans="1:23" ht="15.75" customHeight="1" x14ac:dyDescent="0.2">
      <c r="A369" s="7"/>
      <c r="B369" s="55"/>
      <c r="C369" s="7"/>
      <c r="D369" s="7"/>
      <c r="E369" s="7"/>
      <c r="F369" s="7"/>
      <c r="G369" s="7"/>
      <c r="H369" s="55"/>
      <c r="I369" s="97"/>
      <c r="J369" s="97"/>
      <c r="K369" s="97"/>
      <c r="L369" s="97"/>
      <c r="M369" s="7"/>
      <c r="N369" s="7"/>
      <c r="O369" s="7"/>
      <c r="P369" s="7"/>
      <c r="Q369" s="7"/>
      <c r="R369" s="7"/>
      <c r="S369" s="7"/>
      <c r="T369" s="7"/>
      <c r="U369" s="7"/>
      <c r="V369" s="7"/>
      <c r="W369" s="7"/>
    </row>
    <row r="370" spans="1:23" ht="15.75" customHeight="1" x14ac:dyDescent="0.2">
      <c r="A370" s="7"/>
      <c r="B370" s="55"/>
      <c r="C370" s="7"/>
      <c r="D370" s="7"/>
      <c r="E370" s="7"/>
      <c r="F370" s="7"/>
      <c r="G370" s="7"/>
      <c r="H370" s="55"/>
      <c r="I370" s="97"/>
      <c r="J370" s="97"/>
      <c r="K370" s="97"/>
      <c r="L370" s="97"/>
      <c r="M370" s="7"/>
      <c r="N370" s="7"/>
      <c r="O370" s="7"/>
      <c r="P370" s="7"/>
      <c r="Q370" s="7"/>
      <c r="R370" s="7"/>
      <c r="S370" s="7"/>
      <c r="T370" s="7"/>
      <c r="U370" s="7"/>
      <c r="V370" s="7"/>
      <c r="W370" s="7"/>
    </row>
    <row r="371" spans="1:23" ht="15.75" customHeight="1" x14ac:dyDescent="0.2">
      <c r="A371" s="7"/>
      <c r="B371" s="55"/>
      <c r="C371" s="7"/>
      <c r="D371" s="7"/>
      <c r="E371" s="7"/>
      <c r="F371" s="7"/>
      <c r="G371" s="7"/>
      <c r="H371" s="55"/>
      <c r="I371" s="97"/>
      <c r="J371" s="97"/>
      <c r="K371" s="97"/>
      <c r="L371" s="97"/>
      <c r="M371" s="7"/>
      <c r="N371" s="7"/>
      <c r="O371" s="7"/>
      <c r="P371" s="7"/>
      <c r="Q371" s="7"/>
      <c r="R371" s="7"/>
      <c r="S371" s="7"/>
      <c r="T371" s="7"/>
      <c r="U371" s="7"/>
      <c r="V371" s="7"/>
      <c r="W371" s="7"/>
    </row>
    <row r="372" spans="1:23" ht="15.75" customHeight="1" x14ac:dyDescent="0.2">
      <c r="A372" s="7"/>
      <c r="B372" s="55"/>
      <c r="C372" s="7"/>
      <c r="D372" s="7"/>
      <c r="E372" s="7"/>
      <c r="F372" s="7"/>
      <c r="G372" s="7"/>
      <c r="H372" s="55"/>
      <c r="I372" s="97"/>
      <c r="J372" s="97"/>
      <c r="K372" s="97"/>
      <c r="L372" s="97"/>
      <c r="M372" s="7"/>
      <c r="N372" s="7"/>
      <c r="O372" s="7"/>
      <c r="P372" s="7"/>
      <c r="Q372" s="7"/>
      <c r="R372" s="7"/>
      <c r="S372" s="7"/>
      <c r="T372" s="7"/>
      <c r="U372" s="7"/>
      <c r="V372" s="7"/>
      <c r="W372" s="7"/>
    </row>
    <row r="373" spans="1:23" ht="15.75" customHeight="1" x14ac:dyDescent="0.2">
      <c r="A373" s="7"/>
      <c r="B373" s="55"/>
      <c r="C373" s="7"/>
      <c r="D373" s="7"/>
      <c r="E373" s="7"/>
      <c r="F373" s="7"/>
      <c r="G373" s="7"/>
      <c r="H373" s="55"/>
      <c r="I373" s="97"/>
      <c r="J373" s="97"/>
      <c r="K373" s="97"/>
      <c r="L373" s="97"/>
      <c r="M373" s="7"/>
      <c r="N373" s="7"/>
      <c r="O373" s="7"/>
      <c r="P373" s="7"/>
      <c r="Q373" s="7"/>
      <c r="R373" s="7"/>
      <c r="S373" s="7"/>
      <c r="T373" s="7"/>
      <c r="U373" s="7"/>
      <c r="V373" s="7"/>
      <c r="W373" s="7"/>
    </row>
    <row r="374" spans="1:23" ht="15.75" customHeight="1" x14ac:dyDescent="0.2">
      <c r="A374" s="7"/>
      <c r="B374" s="55"/>
      <c r="C374" s="7"/>
      <c r="D374" s="7"/>
      <c r="E374" s="7"/>
      <c r="F374" s="7"/>
      <c r="G374" s="7"/>
      <c r="H374" s="55"/>
      <c r="I374" s="97"/>
      <c r="J374" s="97"/>
      <c r="K374" s="97"/>
      <c r="L374" s="97"/>
      <c r="M374" s="7"/>
      <c r="N374" s="7"/>
      <c r="O374" s="7"/>
      <c r="P374" s="7"/>
      <c r="Q374" s="7"/>
      <c r="R374" s="7"/>
      <c r="S374" s="7"/>
      <c r="T374" s="7"/>
      <c r="U374" s="7"/>
      <c r="V374" s="7"/>
      <c r="W374" s="7"/>
    </row>
    <row r="375" spans="1:23" ht="15.75" customHeight="1" x14ac:dyDescent="0.2">
      <c r="A375" s="7"/>
      <c r="B375" s="55"/>
      <c r="C375" s="7"/>
      <c r="D375" s="7"/>
      <c r="E375" s="7"/>
      <c r="F375" s="7"/>
      <c r="G375" s="7"/>
      <c r="H375" s="55"/>
      <c r="I375" s="97"/>
      <c r="J375" s="97"/>
      <c r="K375" s="97"/>
      <c r="L375" s="97"/>
      <c r="M375" s="7"/>
      <c r="N375" s="7"/>
      <c r="O375" s="7"/>
      <c r="P375" s="7"/>
      <c r="Q375" s="7"/>
      <c r="R375" s="7"/>
      <c r="S375" s="7"/>
      <c r="T375" s="7"/>
      <c r="U375" s="7"/>
      <c r="V375" s="7"/>
      <c r="W375" s="7"/>
    </row>
    <row r="376" spans="1:23" ht="15.75" customHeight="1" x14ac:dyDescent="0.2">
      <c r="A376" s="7"/>
      <c r="B376" s="55"/>
      <c r="C376" s="7"/>
      <c r="D376" s="7"/>
      <c r="E376" s="7"/>
      <c r="F376" s="7"/>
      <c r="G376" s="7"/>
      <c r="H376" s="55"/>
      <c r="I376" s="97"/>
      <c r="J376" s="97"/>
      <c r="K376" s="97"/>
      <c r="L376" s="97"/>
      <c r="M376" s="7"/>
      <c r="N376" s="7"/>
      <c r="O376" s="7"/>
      <c r="P376" s="7"/>
      <c r="Q376" s="7"/>
      <c r="R376" s="7"/>
      <c r="S376" s="7"/>
      <c r="T376" s="7"/>
      <c r="U376" s="7"/>
      <c r="V376" s="7"/>
      <c r="W376" s="7"/>
    </row>
    <row r="377" spans="1:23" ht="15.75" customHeight="1" x14ac:dyDescent="0.2">
      <c r="A377" s="7"/>
      <c r="B377" s="55"/>
      <c r="C377" s="7"/>
      <c r="D377" s="7"/>
      <c r="E377" s="7"/>
      <c r="F377" s="7"/>
      <c r="G377" s="7"/>
      <c r="H377" s="55"/>
      <c r="I377" s="97"/>
      <c r="J377" s="97"/>
      <c r="K377" s="97"/>
      <c r="L377" s="97"/>
      <c r="M377" s="7"/>
      <c r="N377" s="7"/>
      <c r="O377" s="7"/>
      <c r="P377" s="7"/>
      <c r="Q377" s="7"/>
      <c r="R377" s="7"/>
      <c r="S377" s="7"/>
      <c r="T377" s="7"/>
      <c r="U377" s="7"/>
      <c r="V377" s="7"/>
      <c r="W377" s="7"/>
    </row>
    <row r="378" spans="1:23" ht="15.75" customHeight="1" x14ac:dyDescent="0.2">
      <c r="A378" s="7"/>
      <c r="B378" s="55"/>
      <c r="C378" s="7"/>
      <c r="D378" s="7"/>
      <c r="E378" s="7"/>
      <c r="F378" s="7"/>
      <c r="G378" s="7"/>
      <c r="H378" s="55"/>
      <c r="I378" s="97"/>
      <c r="J378" s="97"/>
      <c r="K378" s="97"/>
      <c r="L378" s="97"/>
      <c r="M378" s="7"/>
      <c r="N378" s="7"/>
      <c r="O378" s="7"/>
      <c r="P378" s="7"/>
      <c r="Q378" s="7"/>
      <c r="R378" s="7"/>
      <c r="S378" s="7"/>
      <c r="T378" s="7"/>
      <c r="U378" s="7"/>
      <c r="V378" s="7"/>
      <c r="W378" s="7"/>
    </row>
    <row r="379" spans="1:23" ht="15.75" customHeight="1" x14ac:dyDescent="0.2">
      <c r="A379" s="7"/>
      <c r="B379" s="55"/>
      <c r="C379" s="7"/>
      <c r="D379" s="7"/>
      <c r="E379" s="7"/>
      <c r="F379" s="7"/>
      <c r="G379" s="7"/>
      <c r="H379" s="55"/>
      <c r="I379" s="97"/>
      <c r="J379" s="97"/>
      <c r="K379" s="97"/>
      <c r="L379" s="97"/>
      <c r="M379" s="7"/>
      <c r="N379" s="7"/>
      <c r="O379" s="7"/>
      <c r="P379" s="7"/>
      <c r="Q379" s="7"/>
      <c r="R379" s="7"/>
      <c r="S379" s="7"/>
      <c r="T379" s="7"/>
      <c r="U379" s="7"/>
      <c r="V379" s="7"/>
      <c r="W379" s="7"/>
    </row>
    <row r="380" spans="1:23" ht="15.75" customHeight="1" x14ac:dyDescent="0.2">
      <c r="A380" s="7"/>
      <c r="B380" s="55"/>
      <c r="C380" s="7"/>
      <c r="D380" s="7"/>
      <c r="E380" s="7"/>
      <c r="F380" s="7"/>
      <c r="G380" s="7"/>
      <c r="H380" s="55"/>
      <c r="I380" s="97"/>
      <c r="J380" s="97"/>
      <c r="K380" s="97"/>
      <c r="L380" s="97"/>
      <c r="M380" s="7"/>
      <c r="N380" s="7"/>
      <c r="O380" s="7"/>
      <c r="P380" s="7"/>
      <c r="Q380" s="7"/>
      <c r="R380" s="7"/>
      <c r="S380" s="7"/>
      <c r="T380" s="7"/>
      <c r="U380" s="7"/>
      <c r="V380" s="7"/>
      <c r="W380" s="7"/>
    </row>
    <row r="381" spans="1:23" ht="15.75" customHeight="1" x14ac:dyDescent="0.2">
      <c r="A381" s="7"/>
      <c r="B381" s="55"/>
      <c r="C381" s="7"/>
      <c r="D381" s="7"/>
      <c r="E381" s="7"/>
      <c r="F381" s="7"/>
      <c r="G381" s="7"/>
      <c r="H381" s="55"/>
      <c r="I381" s="97"/>
      <c r="J381" s="97"/>
      <c r="K381" s="97"/>
      <c r="L381" s="97"/>
      <c r="M381" s="7"/>
      <c r="N381" s="7"/>
      <c r="O381" s="7"/>
      <c r="P381" s="7"/>
      <c r="Q381" s="7"/>
      <c r="R381" s="7"/>
      <c r="S381" s="7"/>
      <c r="T381" s="7"/>
      <c r="U381" s="7"/>
      <c r="V381" s="7"/>
      <c r="W381" s="7"/>
    </row>
    <row r="382" spans="1:23" ht="15.75" customHeight="1" x14ac:dyDescent="0.2">
      <c r="A382" s="7"/>
      <c r="B382" s="55"/>
      <c r="C382" s="7"/>
      <c r="D382" s="7"/>
      <c r="E382" s="7"/>
      <c r="F382" s="7"/>
      <c r="G382" s="7"/>
      <c r="H382" s="55"/>
      <c r="I382" s="97"/>
      <c r="J382" s="97"/>
      <c r="K382" s="97"/>
      <c r="L382" s="97"/>
      <c r="M382" s="7"/>
      <c r="N382" s="7"/>
      <c r="O382" s="7"/>
      <c r="P382" s="7"/>
      <c r="Q382" s="7"/>
      <c r="R382" s="7"/>
      <c r="S382" s="7"/>
      <c r="T382" s="7"/>
      <c r="U382" s="7"/>
      <c r="V382" s="7"/>
      <c r="W382" s="7"/>
    </row>
    <row r="383" spans="1:23" ht="15.75" customHeight="1" x14ac:dyDescent="0.2">
      <c r="A383" s="7"/>
      <c r="B383" s="55"/>
      <c r="C383" s="7"/>
      <c r="D383" s="7"/>
      <c r="E383" s="7"/>
      <c r="F383" s="7"/>
      <c r="G383" s="7"/>
      <c r="H383" s="55"/>
      <c r="I383" s="97"/>
      <c r="J383" s="97"/>
      <c r="K383" s="97"/>
      <c r="L383" s="97"/>
      <c r="M383" s="7"/>
      <c r="N383" s="7"/>
      <c r="O383" s="7"/>
      <c r="P383" s="7"/>
      <c r="Q383" s="7"/>
      <c r="R383" s="7"/>
      <c r="S383" s="7"/>
      <c r="T383" s="7"/>
      <c r="U383" s="7"/>
      <c r="V383" s="7"/>
      <c r="W383" s="7"/>
    </row>
    <row r="384" spans="1:23" ht="15.75" customHeight="1" x14ac:dyDescent="0.2">
      <c r="A384" s="7"/>
      <c r="B384" s="55"/>
      <c r="C384" s="7"/>
      <c r="D384" s="7"/>
      <c r="E384" s="7"/>
      <c r="F384" s="7"/>
      <c r="G384" s="7"/>
      <c r="H384" s="55"/>
      <c r="I384" s="97"/>
      <c r="J384" s="97"/>
      <c r="K384" s="97"/>
      <c r="L384" s="97"/>
      <c r="M384" s="7"/>
      <c r="N384" s="7"/>
      <c r="O384" s="7"/>
      <c r="P384" s="7"/>
      <c r="Q384" s="7"/>
      <c r="R384" s="7"/>
      <c r="S384" s="7"/>
      <c r="T384" s="7"/>
      <c r="U384" s="7"/>
      <c r="V384" s="7"/>
      <c r="W384" s="7"/>
    </row>
    <row r="385" spans="1:23" ht="15.75" customHeight="1" x14ac:dyDescent="0.2">
      <c r="A385" s="7"/>
      <c r="B385" s="55"/>
      <c r="C385" s="7"/>
      <c r="D385" s="7"/>
      <c r="E385" s="7"/>
      <c r="F385" s="7"/>
      <c r="G385" s="7"/>
      <c r="H385" s="55"/>
      <c r="I385" s="97"/>
      <c r="J385" s="97"/>
      <c r="K385" s="97"/>
      <c r="L385" s="97"/>
      <c r="M385" s="7"/>
      <c r="N385" s="7"/>
      <c r="O385" s="7"/>
      <c r="P385" s="7"/>
      <c r="Q385" s="7"/>
      <c r="R385" s="7"/>
      <c r="S385" s="7"/>
      <c r="T385" s="7"/>
      <c r="U385" s="7"/>
      <c r="V385" s="7"/>
      <c r="W385" s="7"/>
    </row>
    <row r="386" spans="1:23" ht="15.75" customHeight="1" x14ac:dyDescent="0.2">
      <c r="A386" s="7"/>
      <c r="B386" s="55"/>
      <c r="C386" s="7"/>
      <c r="D386" s="7"/>
      <c r="E386" s="7"/>
      <c r="F386" s="7"/>
      <c r="G386" s="7"/>
      <c r="H386" s="55"/>
      <c r="I386" s="97"/>
      <c r="J386" s="97"/>
      <c r="K386" s="97"/>
      <c r="L386" s="97"/>
      <c r="M386" s="7"/>
      <c r="N386" s="7"/>
      <c r="O386" s="7"/>
      <c r="P386" s="7"/>
      <c r="Q386" s="7"/>
      <c r="R386" s="7"/>
      <c r="S386" s="7"/>
      <c r="T386" s="7"/>
      <c r="U386" s="7"/>
      <c r="V386" s="7"/>
      <c r="W386" s="7"/>
    </row>
    <row r="387" spans="1:23" ht="15.75" customHeight="1" x14ac:dyDescent="0.2">
      <c r="A387" s="7"/>
      <c r="B387" s="55"/>
      <c r="C387" s="7"/>
      <c r="D387" s="7"/>
      <c r="E387" s="7"/>
      <c r="F387" s="7"/>
      <c r="G387" s="7"/>
      <c r="H387" s="55"/>
      <c r="I387" s="97"/>
      <c r="J387" s="97"/>
      <c r="K387" s="97"/>
      <c r="L387" s="97"/>
      <c r="M387" s="7"/>
      <c r="N387" s="7"/>
      <c r="O387" s="7"/>
      <c r="P387" s="7"/>
      <c r="Q387" s="7"/>
      <c r="R387" s="7"/>
      <c r="S387" s="7"/>
      <c r="T387" s="7"/>
      <c r="U387" s="7"/>
      <c r="V387" s="7"/>
      <c r="W387" s="7"/>
    </row>
    <row r="388" spans="1:23" ht="15.75" customHeight="1" x14ac:dyDescent="0.2">
      <c r="A388" s="7"/>
      <c r="B388" s="55"/>
      <c r="C388" s="7"/>
      <c r="D388" s="7"/>
      <c r="E388" s="7"/>
      <c r="F388" s="7"/>
      <c r="G388" s="7"/>
      <c r="H388" s="55"/>
      <c r="I388" s="97"/>
      <c r="J388" s="97"/>
      <c r="K388" s="97"/>
      <c r="L388" s="97"/>
      <c r="M388" s="7"/>
      <c r="N388" s="7"/>
      <c r="O388" s="7"/>
      <c r="P388" s="7"/>
      <c r="Q388" s="7"/>
      <c r="R388" s="7"/>
      <c r="S388" s="7"/>
      <c r="T388" s="7"/>
      <c r="U388" s="7"/>
      <c r="V388" s="7"/>
      <c r="W388" s="7"/>
    </row>
    <row r="389" spans="1:23" ht="15.75" customHeight="1" x14ac:dyDescent="0.2">
      <c r="A389" s="7"/>
      <c r="B389" s="55"/>
      <c r="C389" s="7"/>
      <c r="D389" s="7"/>
      <c r="E389" s="7"/>
      <c r="F389" s="7"/>
      <c r="G389" s="7"/>
      <c r="H389" s="55"/>
      <c r="I389" s="97"/>
      <c r="J389" s="97"/>
      <c r="K389" s="97"/>
      <c r="L389" s="97"/>
      <c r="M389" s="7"/>
      <c r="N389" s="7"/>
      <c r="O389" s="7"/>
      <c r="P389" s="7"/>
      <c r="Q389" s="7"/>
      <c r="R389" s="7"/>
      <c r="S389" s="7"/>
      <c r="T389" s="7"/>
      <c r="U389" s="7"/>
      <c r="V389" s="7"/>
      <c r="W389" s="7"/>
    </row>
    <row r="390" spans="1:23" ht="15.75" customHeight="1" x14ac:dyDescent="0.2">
      <c r="A390" s="7"/>
      <c r="B390" s="55"/>
      <c r="C390" s="7"/>
      <c r="D390" s="7"/>
      <c r="E390" s="7"/>
      <c r="F390" s="7"/>
      <c r="G390" s="7"/>
      <c r="H390" s="55"/>
      <c r="I390" s="97"/>
      <c r="J390" s="97"/>
      <c r="K390" s="97"/>
      <c r="L390" s="97"/>
      <c r="M390" s="7"/>
      <c r="N390" s="7"/>
      <c r="O390" s="7"/>
      <c r="P390" s="7"/>
      <c r="Q390" s="7"/>
      <c r="R390" s="7"/>
      <c r="S390" s="7"/>
      <c r="T390" s="7"/>
      <c r="U390" s="7"/>
      <c r="V390" s="7"/>
      <c r="W390" s="7"/>
    </row>
    <row r="391" spans="1:23" ht="15.75" customHeight="1" x14ac:dyDescent="0.2">
      <c r="A391" s="7"/>
      <c r="B391" s="55"/>
      <c r="C391" s="7"/>
      <c r="D391" s="7"/>
      <c r="E391" s="7"/>
      <c r="F391" s="7"/>
      <c r="G391" s="7"/>
      <c r="H391" s="55"/>
      <c r="I391" s="97"/>
      <c r="J391" s="97"/>
      <c r="K391" s="97"/>
      <c r="L391" s="97"/>
      <c r="M391" s="7"/>
      <c r="N391" s="7"/>
      <c r="O391" s="7"/>
      <c r="P391" s="7"/>
      <c r="Q391" s="7"/>
      <c r="R391" s="7"/>
      <c r="S391" s="7"/>
      <c r="T391" s="7"/>
      <c r="U391" s="7"/>
      <c r="V391" s="7"/>
      <c r="W391" s="7"/>
    </row>
    <row r="392" spans="1:23" ht="15.75" customHeight="1" x14ac:dyDescent="0.2">
      <c r="A392" s="7"/>
      <c r="B392" s="55"/>
      <c r="C392" s="7"/>
      <c r="D392" s="7"/>
      <c r="E392" s="7"/>
      <c r="F392" s="7"/>
      <c r="G392" s="7"/>
      <c r="H392" s="55"/>
      <c r="I392" s="97"/>
      <c r="J392" s="97"/>
      <c r="K392" s="97"/>
      <c r="L392" s="97"/>
      <c r="M392" s="7"/>
      <c r="N392" s="7"/>
      <c r="O392" s="7"/>
      <c r="P392" s="7"/>
      <c r="Q392" s="7"/>
      <c r="R392" s="7"/>
      <c r="S392" s="7"/>
      <c r="T392" s="7"/>
      <c r="U392" s="7"/>
      <c r="V392" s="7"/>
      <c r="W392" s="7"/>
    </row>
    <row r="393" spans="1:23" ht="15.75" customHeight="1" x14ac:dyDescent="0.2">
      <c r="A393" s="7"/>
      <c r="B393" s="55"/>
      <c r="C393" s="7"/>
      <c r="D393" s="7"/>
      <c r="E393" s="7"/>
      <c r="F393" s="7"/>
      <c r="G393" s="7"/>
      <c r="H393" s="55"/>
      <c r="I393" s="97"/>
      <c r="J393" s="97"/>
      <c r="K393" s="97"/>
      <c r="L393" s="97"/>
      <c r="M393" s="7"/>
      <c r="N393" s="7"/>
      <c r="O393" s="7"/>
      <c r="P393" s="7"/>
      <c r="Q393" s="7"/>
      <c r="R393" s="7"/>
      <c r="S393" s="7"/>
      <c r="T393" s="7"/>
      <c r="U393" s="7"/>
      <c r="V393" s="7"/>
      <c r="W393" s="7"/>
    </row>
    <row r="394" spans="1:23" ht="15.75" customHeight="1" x14ac:dyDescent="0.2">
      <c r="A394" s="7"/>
      <c r="B394" s="55"/>
      <c r="C394" s="7"/>
      <c r="D394" s="7"/>
      <c r="E394" s="7"/>
      <c r="F394" s="7"/>
      <c r="G394" s="7"/>
      <c r="H394" s="55"/>
      <c r="I394" s="97"/>
      <c r="J394" s="97"/>
      <c r="K394" s="97"/>
      <c r="L394" s="97"/>
      <c r="M394" s="7"/>
      <c r="N394" s="7"/>
      <c r="O394" s="7"/>
      <c r="P394" s="7"/>
      <c r="Q394" s="7"/>
      <c r="R394" s="7"/>
      <c r="S394" s="7"/>
      <c r="T394" s="7"/>
      <c r="U394" s="7"/>
      <c r="V394" s="7"/>
      <c r="W394" s="7"/>
    </row>
    <row r="395" spans="1:23" ht="15.75" customHeight="1" x14ac:dyDescent="0.2">
      <c r="A395" s="7"/>
      <c r="B395" s="55"/>
      <c r="C395" s="7"/>
      <c r="D395" s="7"/>
      <c r="E395" s="7"/>
      <c r="F395" s="7"/>
      <c r="G395" s="7"/>
      <c r="H395" s="55"/>
      <c r="I395" s="97"/>
      <c r="J395" s="97"/>
      <c r="K395" s="97"/>
      <c r="L395" s="97"/>
      <c r="M395" s="7"/>
      <c r="N395" s="7"/>
      <c r="O395" s="7"/>
      <c r="P395" s="7"/>
      <c r="Q395" s="7"/>
      <c r="R395" s="7"/>
      <c r="S395" s="7"/>
      <c r="T395" s="7"/>
      <c r="U395" s="7"/>
      <c r="V395" s="7"/>
      <c r="W395" s="7"/>
    </row>
    <row r="396" spans="1:23" ht="15.75" customHeight="1" x14ac:dyDescent="0.2">
      <c r="A396" s="7"/>
      <c r="B396" s="55"/>
      <c r="C396" s="7"/>
      <c r="D396" s="7"/>
      <c r="E396" s="7"/>
      <c r="F396" s="7"/>
      <c r="G396" s="7"/>
      <c r="H396" s="55"/>
      <c r="I396" s="97"/>
      <c r="J396" s="97"/>
      <c r="K396" s="97"/>
      <c r="L396" s="97"/>
      <c r="M396" s="7"/>
      <c r="N396" s="7"/>
      <c r="O396" s="7"/>
      <c r="P396" s="7"/>
      <c r="Q396" s="7"/>
      <c r="R396" s="7"/>
      <c r="S396" s="7"/>
      <c r="T396" s="7"/>
      <c r="U396" s="7"/>
      <c r="V396" s="7"/>
      <c r="W396" s="7"/>
    </row>
    <row r="397" spans="1:23" ht="15.75" customHeight="1" x14ac:dyDescent="0.2">
      <c r="A397" s="7"/>
      <c r="B397" s="55"/>
      <c r="C397" s="7"/>
      <c r="D397" s="7"/>
      <c r="E397" s="7"/>
      <c r="F397" s="7"/>
      <c r="G397" s="7"/>
      <c r="H397" s="55"/>
      <c r="I397" s="97"/>
      <c r="J397" s="97"/>
      <c r="K397" s="97"/>
      <c r="L397" s="97"/>
      <c r="M397" s="7"/>
      <c r="N397" s="7"/>
      <c r="O397" s="7"/>
      <c r="P397" s="7"/>
      <c r="Q397" s="7"/>
      <c r="R397" s="7"/>
      <c r="S397" s="7"/>
      <c r="T397" s="7"/>
      <c r="U397" s="7"/>
      <c r="V397" s="7"/>
      <c r="W397" s="7"/>
    </row>
    <row r="398" spans="1:23" ht="15.75" customHeight="1" x14ac:dyDescent="0.2">
      <c r="A398" s="7"/>
      <c r="B398" s="55"/>
      <c r="C398" s="7"/>
      <c r="D398" s="7"/>
      <c r="E398" s="7"/>
      <c r="F398" s="7"/>
      <c r="G398" s="7"/>
      <c r="H398" s="55"/>
      <c r="I398" s="97"/>
      <c r="J398" s="97"/>
      <c r="K398" s="97"/>
      <c r="L398" s="97"/>
      <c r="M398" s="7"/>
      <c r="N398" s="7"/>
      <c r="O398" s="7"/>
      <c r="P398" s="7"/>
      <c r="Q398" s="7"/>
      <c r="R398" s="7"/>
      <c r="S398" s="7"/>
      <c r="T398" s="7"/>
      <c r="U398" s="7"/>
      <c r="V398" s="7"/>
      <c r="W398" s="7"/>
    </row>
    <row r="399" spans="1:23" ht="15.75" customHeight="1" x14ac:dyDescent="0.2">
      <c r="A399" s="7"/>
      <c r="B399" s="55"/>
      <c r="C399" s="7"/>
      <c r="D399" s="7"/>
      <c r="E399" s="7"/>
      <c r="F399" s="7"/>
      <c r="G399" s="7"/>
      <c r="H399" s="55"/>
      <c r="I399" s="97"/>
      <c r="J399" s="97"/>
      <c r="K399" s="97"/>
      <c r="L399" s="97"/>
      <c r="M399" s="7"/>
      <c r="N399" s="7"/>
      <c r="O399" s="7"/>
      <c r="P399" s="7"/>
      <c r="Q399" s="7"/>
      <c r="R399" s="7"/>
      <c r="S399" s="7"/>
      <c r="T399" s="7"/>
      <c r="U399" s="7"/>
      <c r="V399" s="7"/>
      <c r="W399" s="7"/>
    </row>
    <row r="400" spans="1:23" ht="15.75" customHeight="1" x14ac:dyDescent="0.2">
      <c r="A400" s="7"/>
      <c r="B400" s="55"/>
      <c r="C400" s="7"/>
      <c r="D400" s="7"/>
      <c r="E400" s="7"/>
      <c r="F400" s="7"/>
      <c r="G400" s="7"/>
      <c r="H400" s="55"/>
      <c r="I400" s="97"/>
      <c r="J400" s="97"/>
      <c r="K400" s="97"/>
      <c r="L400" s="97"/>
      <c r="M400" s="7"/>
      <c r="N400" s="7"/>
      <c r="O400" s="7"/>
      <c r="P400" s="7"/>
      <c r="Q400" s="7"/>
      <c r="R400" s="7"/>
      <c r="S400" s="7"/>
      <c r="T400" s="7"/>
      <c r="U400" s="7"/>
      <c r="V400" s="7"/>
      <c r="W400" s="7"/>
    </row>
    <row r="401" spans="1:23" ht="15.75" customHeight="1" x14ac:dyDescent="0.2">
      <c r="A401" s="7"/>
      <c r="B401" s="55"/>
      <c r="C401" s="7"/>
      <c r="D401" s="7"/>
      <c r="E401" s="7"/>
      <c r="F401" s="7"/>
      <c r="G401" s="7"/>
      <c r="H401" s="55"/>
      <c r="I401" s="97"/>
      <c r="J401" s="97"/>
      <c r="K401" s="97"/>
      <c r="L401" s="97"/>
      <c r="M401" s="7"/>
      <c r="N401" s="7"/>
      <c r="O401" s="7"/>
      <c r="P401" s="7"/>
      <c r="Q401" s="7"/>
      <c r="R401" s="7"/>
      <c r="S401" s="7"/>
      <c r="T401" s="7"/>
      <c r="U401" s="7"/>
      <c r="V401" s="7"/>
      <c r="W401" s="7"/>
    </row>
    <row r="402" spans="1:23" ht="15.75" customHeight="1" x14ac:dyDescent="0.2">
      <c r="A402" s="7"/>
      <c r="B402" s="55"/>
      <c r="C402" s="7"/>
      <c r="D402" s="7"/>
      <c r="E402" s="7"/>
      <c r="F402" s="7"/>
      <c r="G402" s="7"/>
      <c r="H402" s="55"/>
      <c r="I402" s="97"/>
      <c r="J402" s="97"/>
      <c r="K402" s="97"/>
      <c r="L402" s="97"/>
      <c r="M402" s="7"/>
      <c r="N402" s="7"/>
      <c r="O402" s="7"/>
      <c r="P402" s="7"/>
      <c r="Q402" s="7"/>
      <c r="R402" s="7"/>
      <c r="S402" s="7"/>
      <c r="T402" s="7"/>
      <c r="U402" s="7"/>
      <c r="V402" s="7"/>
      <c r="W402" s="7"/>
    </row>
    <row r="403" spans="1:23" ht="15.75" customHeight="1" x14ac:dyDescent="0.2">
      <c r="A403" s="7"/>
      <c r="B403" s="55"/>
      <c r="C403" s="7"/>
      <c r="D403" s="7"/>
      <c r="E403" s="7"/>
      <c r="F403" s="7"/>
      <c r="G403" s="7"/>
      <c r="H403" s="55"/>
      <c r="I403" s="97"/>
      <c r="J403" s="97"/>
      <c r="K403" s="97"/>
      <c r="L403" s="97"/>
      <c r="M403" s="7"/>
      <c r="N403" s="7"/>
      <c r="O403" s="7"/>
      <c r="P403" s="7"/>
      <c r="Q403" s="7"/>
      <c r="R403" s="7"/>
      <c r="S403" s="7"/>
      <c r="T403" s="7"/>
      <c r="U403" s="7"/>
      <c r="V403" s="7"/>
      <c r="W403" s="7"/>
    </row>
    <row r="404" spans="1:23" ht="15.75" customHeight="1" x14ac:dyDescent="0.2">
      <c r="A404" s="7"/>
      <c r="B404" s="55"/>
      <c r="C404" s="7"/>
      <c r="D404" s="7"/>
      <c r="E404" s="7"/>
      <c r="F404" s="7"/>
      <c r="G404" s="7"/>
      <c r="H404" s="55"/>
      <c r="I404" s="97"/>
      <c r="J404" s="97"/>
      <c r="K404" s="97"/>
      <c r="L404" s="97"/>
      <c r="M404" s="7"/>
      <c r="N404" s="7"/>
      <c r="O404" s="7"/>
      <c r="P404" s="7"/>
      <c r="Q404" s="7"/>
      <c r="R404" s="7"/>
      <c r="S404" s="7"/>
      <c r="T404" s="7"/>
      <c r="U404" s="7"/>
      <c r="V404" s="7"/>
      <c r="W404" s="7"/>
    </row>
    <row r="405" spans="1:23" ht="15.75" customHeight="1" x14ac:dyDescent="0.2">
      <c r="A405" s="7"/>
      <c r="B405" s="55"/>
      <c r="C405" s="7"/>
      <c r="D405" s="7"/>
      <c r="E405" s="7"/>
      <c r="F405" s="7"/>
      <c r="G405" s="7"/>
      <c r="H405" s="55"/>
      <c r="I405" s="97"/>
      <c r="J405" s="97"/>
      <c r="K405" s="97"/>
      <c r="L405" s="97"/>
      <c r="M405" s="7"/>
      <c r="N405" s="7"/>
      <c r="O405" s="7"/>
      <c r="P405" s="7"/>
      <c r="Q405" s="7"/>
      <c r="R405" s="7"/>
      <c r="S405" s="7"/>
      <c r="T405" s="7"/>
      <c r="U405" s="7"/>
      <c r="V405" s="7"/>
      <c r="W405" s="7"/>
    </row>
    <row r="406" spans="1:23" ht="15.75" customHeight="1" x14ac:dyDescent="0.2">
      <c r="A406" s="7"/>
      <c r="B406" s="55"/>
      <c r="C406" s="7"/>
      <c r="D406" s="7"/>
      <c r="E406" s="7"/>
      <c r="F406" s="7"/>
      <c r="G406" s="7"/>
      <c r="H406" s="55"/>
      <c r="I406" s="97"/>
      <c r="J406" s="97"/>
      <c r="K406" s="97"/>
      <c r="L406" s="97"/>
      <c r="M406" s="7"/>
      <c r="N406" s="7"/>
      <c r="O406" s="7"/>
      <c r="P406" s="7"/>
      <c r="Q406" s="7"/>
      <c r="R406" s="7"/>
      <c r="S406" s="7"/>
      <c r="T406" s="7"/>
      <c r="U406" s="7"/>
      <c r="V406" s="7"/>
      <c r="W406" s="7"/>
    </row>
    <row r="407" spans="1:23" ht="15.75" customHeight="1" x14ac:dyDescent="0.2">
      <c r="A407" s="7"/>
      <c r="B407" s="55"/>
      <c r="C407" s="7"/>
      <c r="D407" s="7"/>
      <c r="E407" s="7"/>
      <c r="F407" s="7"/>
      <c r="G407" s="7"/>
      <c r="H407" s="55"/>
      <c r="I407" s="97"/>
      <c r="J407" s="97"/>
      <c r="K407" s="97"/>
      <c r="L407" s="97"/>
      <c r="M407" s="7"/>
      <c r="N407" s="7"/>
      <c r="O407" s="7"/>
      <c r="P407" s="7"/>
      <c r="Q407" s="7"/>
      <c r="R407" s="7"/>
      <c r="S407" s="7"/>
      <c r="T407" s="7"/>
      <c r="U407" s="7"/>
      <c r="V407" s="7"/>
      <c r="W407" s="7"/>
    </row>
    <row r="408" spans="1:23" ht="15.75" customHeight="1" x14ac:dyDescent="0.2">
      <c r="A408" s="7"/>
      <c r="B408" s="55"/>
      <c r="C408" s="7"/>
      <c r="D408" s="7"/>
      <c r="E408" s="7"/>
      <c r="F408" s="7"/>
      <c r="G408" s="7"/>
      <c r="H408" s="55"/>
      <c r="I408" s="97"/>
      <c r="J408" s="97"/>
      <c r="K408" s="97"/>
      <c r="L408" s="97"/>
      <c r="M408" s="7"/>
      <c r="N408" s="7"/>
      <c r="O408" s="7"/>
      <c r="P408" s="7"/>
      <c r="Q408" s="7"/>
      <c r="R408" s="7"/>
      <c r="S408" s="7"/>
      <c r="T408" s="7"/>
      <c r="U408" s="7"/>
      <c r="V408" s="7"/>
      <c r="W408" s="7"/>
    </row>
    <row r="409" spans="1:23" ht="15.75" customHeight="1" x14ac:dyDescent="0.2">
      <c r="A409" s="7"/>
      <c r="B409" s="55"/>
      <c r="C409" s="7"/>
      <c r="D409" s="7"/>
      <c r="E409" s="7"/>
      <c r="F409" s="7"/>
      <c r="G409" s="7"/>
      <c r="H409" s="55"/>
      <c r="I409" s="97"/>
      <c r="J409" s="97"/>
      <c r="K409" s="97"/>
      <c r="L409" s="97"/>
      <c r="M409" s="7"/>
      <c r="N409" s="7"/>
      <c r="O409" s="7"/>
      <c r="P409" s="7"/>
      <c r="Q409" s="7"/>
      <c r="R409" s="7"/>
      <c r="S409" s="7"/>
      <c r="T409" s="7"/>
      <c r="U409" s="7"/>
      <c r="V409" s="7"/>
      <c r="W409" s="7"/>
    </row>
    <row r="410" spans="1:23" ht="15.75" customHeight="1" x14ac:dyDescent="0.2">
      <c r="A410" s="7"/>
      <c r="B410" s="55"/>
      <c r="C410" s="7"/>
      <c r="D410" s="7"/>
      <c r="E410" s="7"/>
      <c r="F410" s="7"/>
      <c r="G410" s="7"/>
      <c r="H410" s="55"/>
      <c r="I410" s="97"/>
      <c r="J410" s="97"/>
      <c r="K410" s="97"/>
      <c r="L410" s="97"/>
      <c r="M410" s="7"/>
      <c r="N410" s="7"/>
      <c r="O410" s="7"/>
      <c r="P410" s="7"/>
      <c r="Q410" s="7"/>
      <c r="R410" s="7"/>
      <c r="S410" s="7"/>
      <c r="T410" s="7"/>
      <c r="U410" s="7"/>
      <c r="V410" s="7"/>
      <c r="W410" s="7"/>
    </row>
    <row r="411" spans="1:23" ht="15.75" customHeight="1" x14ac:dyDescent="0.2">
      <c r="A411" s="7"/>
      <c r="B411" s="55"/>
      <c r="C411" s="7"/>
      <c r="D411" s="7"/>
      <c r="E411" s="7"/>
      <c r="F411" s="7"/>
      <c r="G411" s="7"/>
      <c r="H411" s="55"/>
      <c r="I411" s="97"/>
      <c r="J411" s="97"/>
      <c r="K411" s="97"/>
      <c r="L411" s="97"/>
      <c r="M411" s="7"/>
      <c r="N411" s="7"/>
      <c r="O411" s="7"/>
      <c r="P411" s="7"/>
      <c r="Q411" s="7"/>
      <c r="R411" s="7"/>
      <c r="S411" s="7"/>
      <c r="T411" s="7"/>
      <c r="U411" s="7"/>
      <c r="V411" s="7"/>
      <c r="W411" s="7"/>
    </row>
    <row r="412" spans="1:23" ht="15.75" customHeight="1" x14ac:dyDescent="0.2">
      <c r="A412" s="7"/>
      <c r="B412" s="55"/>
      <c r="C412" s="7"/>
      <c r="D412" s="7"/>
      <c r="E412" s="7"/>
      <c r="F412" s="7"/>
      <c r="G412" s="7"/>
      <c r="H412" s="55"/>
      <c r="I412" s="97"/>
      <c r="J412" s="97"/>
      <c r="K412" s="97"/>
      <c r="L412" s="97"/>
      <c r="M412" s="7"/>
      <c r="N412" s="7"/>
      <c r="O412" s="7"/>
      <c r="P412" s="7"/>
      <c r="Q412" s="7"/>
      <c r="R412" s="7"/>
      <c r="S412" s="7"/>
      <c r="T412" s="7"/>
      <c r="U412" s="7"/>
      <c r="V412" s="7"/>
      <c r="W412" s="7"/>
    </row>
    <row r="413" spans="1:23" ht="15.75" customHeight="1" x14ac:dyDescent="0.2">
      <c r="A413" s="7"/>
      <c r="B413" s="55"/>
      <c r="C413" s="7"/>
      <c r="D413" s="7"/>
      <c r="E413" s="7"/>
      <c r="F413" s="7"/>
      <c r="G413" s="7"/>
      <c r="H413" s="55"/>
      <c r="I413" s="97"/>
      <c r="J413" s="97"/>
      <c r="K413" s="97"/>
      <c r="L413" s="97"/>
      <c r="M413" s="7"/>
      <c r="N413" s="7"/>
      <c r="O413" s="7"/>
      <c r="P413" s="7"/>
      <c r="Q413" s="7"/>
      <c r="R413" s="7"/>
      <c r="S413" s="7"/>
      <c r="T413" s="7"/>
      <c r="U413" s="7"/>
      <c r="V413" s="7"/>
      <c r="W413" s="7"/>
    </row>
    <row r="414" spans="1:23" ht="15.75" customHeight="1" x14ac:dyDescent="0.2">
      <c r="A414" s="7"/>
      <c r="B414" s="55"/>
      <c r="C414" s="7"/>
      <c r="D414" s="7"/>
      <c r="E414" s="7"/>
      <c r="F414" s="7"/>
      <c r="G414" s="7"/>
      <c r="H414" s="55"/>
      <c r="I414" s="97"/>
      <c r="J414" s="97"/>
      <c r="K414" s="97"/>
      <c r="L414" s="97"/>
      <c r="M414" s="7"/>
      <c r="N414" s="7"/>
      <c r="O414" s="7"/>
      <c r="P414" s="7"/>
      <c r="Q414" s="7"/>
      <c r="R414" s="7"/>
      <c r="S414" s="7"/>
      <c r="T414" s="7"/>
      <c r="U414" s="7"/>
      <c r="V414" s="7"/>
      <c r="W414" s="7"/>
    </row>
    <row r="415" spans="1:23" ht="15.75" customHeight="1" x14ac:dyDescent="0.2">
      <c r="A415" s="7"/>
      <c r="B415" s="55"/>
      <c r="C415" s="7"/>
      <c r="D415" s="7"/>
      <c r="E415" s="7"/>
      <c r="F415" s="7"/>
      <c r="G415" s="7"/>
      <c r="H415" s="55"/>
      <c r="I415" s="97"/>
      <c r="J415" s="97"/>
      <c r="K415" s="97"/>
      <c r="L415" s="97"/>
      <c r="M415" s="7"/>
      <c r="N415" s="7"/>
      <c r="O415" s="7"/>
      <c r="P415" s="7"/>
      <c r="Q415" s="7"/>
      <c r="R415" s="7"/>
      <c r="S415" s="7"/>
      <c r="T415" s="7"/>
      <c r="U415" s="7"/>
      <c r="V415" s="7"/>
      <c r="W415" s="7"/>
    </row>
    <row r="416" spans="1:23" ht="15.75" customHeight="1" x14ac:dyDescent="0.2">
      <c r="A416" s="7"/>
      <c r="B416" s="55"/>
      <c r="C416" s="7"/>
      <c r="D416" s="7"/>
      <c r="E416" s="7"/>
      <c r="F416" s="7"/>
      <c r="G416" s="7"/>
      <c r="H416" s="55"/>
      <c r="I416" s="97"/>
      <c r="J416" s="97"/>
      <c r="K416" s="97"/>
      <c r="L416" s="97"/>
      <c r="M416" s="7"/>
      <c r="N416" s="7"/>
      <c r="O416" s="7"/>
      <c r="P416" s="7"/>
      <c r="Q416" s="7"/>
      <c r="R416" s="7"/>
      <c r="S416" s="7"/>
      <c r="T416" s="7"/>
      <c r="U416" s="7"/>
      <c r="V416" s="7"/>
      <c r="W416" s="7"/>
    </row>
    <row r="417" spans="1:23" ht="15.75" customHeight="1" x14ac:dyDescent="0.2">
      <c r="A417" s="7"/>
      <c r="B417" s="55"/>
      <c r="C417" s="7"/>
      <c r="D417" s="7"/>
      <c r="E417" s="7"/>
      <c r="F417" s="7"/>
      <c r="G417" s="7"/>
      <c r="H417" s="55"/>
      <c r="I417" s="97"/>
      <c r="J417" s="97"/>
      <c r="K417" s="97"/>
      <c r="L417" s="97"/>
      <c r="M417" s="7"/>
      <c r="N417" s="7"/>
      <c r="O417" s="7"/>
      <c r="P417" s="7"/>
      <c r="Q417" s="7"/>
      <c r="R417" s="7"/>
      <c r="S417" s="7"/>
      <c r="T417" s="7"/>
      <c r="U417" s="7"/>
      <c r="V417" s="7"/>
      <c r="W417" s="7"/>
    </row>
    <row r="418" spans="1:23" ht="15.75" customHeight="1" x14ac:dyDescent="0.2">
      <c r="A418" s="7"/>
      <c r="B418" s="55"/>
      <c r="C418" s="7"/>
      <c r="D418" s="7"/>
      <c r="E418" s="7"/>
      <c r="F418" s="7"/>
      <c r="G418" s="7"/>
      <c r="H418" s="55"/>
      <c r="I418" s="97"/>
      <c r="J418" s="97"/>
      <c r="K418" s="97"/>
      <c r="L418" s="97"/>
      <c r="M418" s="7"/>
      <c r="N418" s="7"/>
      <c r="O418" s="7"/>
      <c r="P418" s="7"/>
      <c r="Q418" s="7"/>
      <c r="R418" s="7"/>
      <c r="S418" s="7"/>
      <c r="T418" s="7"/>
      <c r="U418" s="7"/>
      <c r="V418" s="7"/>
      <c r="W418" s="7"/>
    </row>
    <row r="419" spans="1:23" ht="15.75" customHeight="1" x14ac:dyDescent="0.2">
      <c r="A419" s="7"/>
      <c r="B419" s="55"/>
      <c r="C419" s="7"/>
      <c r="D419" s="7"/>
      <c r="E419" s="7"/>
      <c r="F419" s="7"/>
      <c r="G419" s="7"/>
      <c r="H419" s="55"/>
      <c r="I419" s="97"/>
      <c r="J419" s="97"/>
      <c r="K419" s="97"/>
      <c r="L419" s="97"/>
      <c r="M419" s="7"/>
      <c r="N419" s="7"/>
      <c r="O419" s="7"/>
      <c r="P419" s="7"/>
      <c r="Q419" s="7"/>
      <c r="R419" s="7"/>
      <c r="S419" s="7"/>
      <c r="T419" s="7"/>
      <c r="U419" s="7"/>
      <c r="V419" s="7"/>
      <c r="W419" s="7"/>
    </row>
    <row r="420" spans="1:23" ht="15.75" customHeight="1" x14ac:dyDescent="0.2">
      <c r="A420" s="7"/>
      <c r="B420" s="55"/>
      <c r="C420" s="7"/>
      <c r="D420" s="7"/>
      <c r="E420" s="7"/>
      <c r="F420" s="7"/>
      <c r="G420" s="7"/>
      <c r="H420" s="55"/>
      <c r="I420" s="97"/>
      <c r="J420" s="97"/>
      <c r="K420" s="97"/>
      <c r="L420" s="97"/>
      <c r="M420" s="7"/>
      <c r="N420" s="7"/>
      <c r="O420" s="7"/>
      <c r="P420" s="7"/>
      <c r="Q420" s="7"/>
      <c r="R420" s="7"/>
      <c r="S420" s="7"/>
      <c r="T420" s="7"/>
      <c r="U420" s="7"/>
      <c r="V420" s="7"/>
      <c r="W420" s="7"/>
    </row>
    <row r="421" spans="1:23" ht="15.75" customHeight="1" x14ac:dyDescent="0.2">
      <c r="A421" s="7"/>
      <c r="B421" s="55"/>
      <c r="C421" s="7"/>
      <c r="D421" s="7"/>
      <c r="E421" s="7"/>
      <c r="F421" s="7"/>
      <c r="G421" s="7"/>
      <c r="H421" s="55"/>
      <c r="I421" s="97"/>
      <c r="J421" s="97"/>
      <c r="K421" s="97"/>
      <c r="L421" s="97"/>
      <c r="M421" s="7"/>
      <c r="N421" s="7"/>
      <c r="O421" s="7"/>
      <c r="P421" s="7"/>
      <c r="Q421" s="7"/>
      <c r="R421" s="7"/>
      <c r="S421" s="7"/>
      <c r="T421" s="7"/>
      <c r="U421" s="7"/>
      <c r="V421" s="7"/>
      <c r="W421" s="7"/>
    </row>
    <row r="422" spans="1:23" ht="15.75" customHeight="1" x14ac:dyDescent="0.2">
      <c r="A422" s="7"/>
      <c r="B422" s="55"/>
      <c r="C422" s="7"/>
      <c r="D422" s="7"/>
      <c r="E422" s="7"/>
      <c r="F422" s="7"/>
      <c r="G422" s="7"/>
      <c r="H422" s="55"/>
      <c r="I422" s="97"/>
      <c r="J422" s="97"/>
      <c r="K422" s="97"/>
      <c r="L422" s="97"/>
      <c r="M422" s="7"/>
      <c r="N422" s="7"/>
      <c r="O422" s="7"/>
      <c r="P422" s="7"/>
      <c r="Q422" s="7"/>
      <c r="R422" s="7"/>
      <c r="S422" s="7"/>
      <c r="T422" s="7"/>
      <c r="U422" s="7"/>
      <c r="V422" s="7"/>
      <c r="W422" s="7"/>
    </row>
    <row r="423" spans="1:23" ht="15.75" customHeight="1" x14ac:dyDescent="0.2">
      <c r="A423" s="7"/>
      <c r="B423" s="55"/>
      <c r="C423" s="7"/>
      <c r="D423" s="7"/>
      <c r="E423" s="7"/>
      <c r="F423" s="7"/>
      <c r="G423" s="7"/>
      <c r="H423" s="55"/>
      <c r="I423" s="97"/>
      <c r="J423" s="97"/>
      <c r="K423" s="97"/>
      <c r="L423" s="97"/>
      <c r="M423" s="7"/>
      <c r="N423" s="7"/>
      <c r="O423" s="7"/>
      <c r="P423" s="7"/>
      <c r="Q423" s="7"/>
      <c r="R423" s="7"/>
      <c r="S423" s="7"/>
      <c r="T423" s="7"/>
      <c r="U423" s="7"/>
      <c r="V423" s="7"/>
      <c r="W423" s="7"/>
    </row>
    <row r="424" spans="1:23" ht="15.75" customHeight="1" x14ac:dyDescent="0.2">
      <c r="A424" s="7"/>
      <c r="B424" s="55"/>
      <c r="C424" s="7"/>
      <c r="D424" s="7"/>
      <c r="E424" s="7"/>
      <c r="F424" s="7"/>
      <c r="G424" s="7"/>
      <c r="H424" s="55"/>
      <c r="I424" s="97"/>
      <c r="J424" s="97"/>
      <c r="K424" s="97"/>
      <c r="L424" s="97"/>
      <c r="M424" s="7"/>
      <c r="N424" s="7"/>
      <c r="O424" s="7"/>
      <c r="P424" s="7"/>
      <c r="Q424" s="7"/>
      <c r="R424" s="7"/>
      <c r="S424" s="7"/>
      <c r="T424" s="7"/>
      <c r="U424" s="7"/>
      <c r="V424" s="7"/>
      <c r="W424" s="7"/>
    </row>
    <row r="425" spans="1:23" ht="15.75" customHeight="1" x14ac:dyDescent="0.2">
      <c r="A425" s="7"/>
      <c r="B425" s="55"/>
      <c r="C425" s="7"/>
      <c r="D425" s="7"/>
      <c r="E425" s="7"/>
      <c r="F425" s="7"/>
      <c r="G425" s="7"/>
      <c r="H425" s="55"/>
      <c r="I425" s="97"/>
      <c r="J425" s="97"/>
      <c r="K425" s="97"/>
      <c r="L425" s="97"/>
      <c r="M425" s="7"/>
      <c r="N425" s="7"/>
      <c r="O425" s="7"/>
      <c r="P425" s="7"/>
      <c r="Q425" s="7"/>
      <c r="R425" s="7"/>
      <c r="S425" s="7"/>
      <c r="T425" s="7"/>
      <c r="U425" s="7"/>
      <c r="V425" s="7"/>
      <c r="W425" s="7"/>
    </row>
    <row r="426" spans="1:23" ht="15.75" customHeight="1" x14ac:dyDescent="0.2">
      <c r="A426" s="7"/>
      <c r="B426" s="55"/>
      <c r="C426" s="7"/>
      <c r="D426" s="7"/>
      <c r="E426" s="7"/>
      <c r="F426" s="7"/>
      <c r="G426" s="7"/>
      <c r="H426" s="55"/>
      <c r="I426" s="97"/>
      <c r="J426" s="97"/>
      <c r="K426" s="97"/>
      <c r="L426" s="97"/>
      <c r="M426" s="7"/>
      <c r="N426" s="7"/>
      <c r="O426" s="7"/>
      <c r="P426" s="7"/>
      <c r="Q426" s="7"/>
      <c r="R426" s="7"/>
      <c r="S426" s="7"/>
      <c r="T426" s="7"/>
      <c r="U426" s="7"/>
      <c r="V426" s="7"/>
      <c r="W426" s="7"/>
    </row>
    <row r="427" spans="1:23" ht="15.75" customHeight="1" x14ac:dyDescent="0.2">
      <c r="A427" s="7"/>
      <c r="B427" s="55"/>
      <c r="C427" s="7"/>
      <c r="D427" s="7"/>
      <c r="E427" s="7"/>
      <c r="F427" s="7"/>
      <c r="G427" s="7"/>
      <c r="H427" s="55"/>
      <c r="I427" s="97"/>
      <c r="J427" s="97"/>
      <c r="K427" s="97"/>
      <c r="L427" s="97"/>
      <c r="M427" s="7"/>
      <c r="N427" s="7"/>
      <c r="O427" s="7"/>
      <c r="P427" s="7"/>
      <c r="Q427" s="7"/>
      <c r="R427" s="7"/>
      <c r="S427" s="7"/>
      <c r="T427" s="7"/>
      <c r="U427" s="7"/>
      <c r="V427" s="7"/>
      <c r="W427" s="7"/>
    </row>
    <row r="428" spans="1:23" ht="15.75" customHeight="1" x14ac:dyDescent="0.2">
      <c r="A428" s="7"/>
      <c r="B428" s="55"/>
      <c r="C428" s="7"/>
      <c r="D428" s="7"/>
      <c r="E428" s="7"/>
      <c r="F428" s="7"/>
      <c r="G428" s="7"/>
      <c r="H428" s="55"/>
      <c r="I428" s="97"/>
      <c r="J428" s="97"/>
      <c r="K428" s="97"/>
      <c r="L428" s="97"/>
      <c r="M428" s="7"/>
      <c r="N428" s="7"/>
      <c r="O428" s="7"/>
      <c r="P428" s="7"/>
      <c r="Q428" s="7"/>
      <c r="R428" s="7"/>
      <c r="S428" s="7"/>
      <c r="T428" s="7"/>
      <c r="U428" s="7"/>
      <c r="V428" s="7"/>
      <c r="W428" s="7"/>
    </row>
    <row r="429" spans="1:23" ht="15.75" customHeight="1" x14ac:dyDescent="0.2">
      <c r="A429" s="7"/>
      <c r="B429" s="55"/>
      <c r="C429" s="7"/>
      <c r="D429" s="7"/>
      <c r="E429" s="7"/>
      <c r="F429" s="7"/>
      <c r="G429" s="7"/>
      <c r="H429" s="55"/>
      <c r="I429" s="97"/>
      <c r="J429" s="97"/>
      <c r="K429" s="97"/>
      <c r="L429" s="97"/>
      <c r="M429" s="7"/>
      <c r="N429" s="7"/>
      <c r="O429" s="7"/>
      <c r="P429" s="7"/>
      <c r="Q429" s="7"/>
      <c r="R429" s="7"/>
      <c r="S429" s="7"/>
      <c r="T429" s="7"/>
      <c r="U429" s="7"/>
      <c r="V429" s="7"/>
      <c r="W429" s="7"/>
    </row>
    <row r="430" spans="1:23" ht="15.75" customHeight="1" x14ac:dyDescent="0.2">
      <c r="A430" s="7"/>
      <c r="B430" s="55"/>
      <c r="C430" s="7"/>
      <c r="D430" s="7"/>
      <c r="E430" s="7"/>
      <c r="F430" s="7"/>
      <c r="G430" s="7"/>
      <c r="H430" s="55"/>
      <c r="I430" s="97"/>
      <c r="J430" s="97"/>
      <c r="K430" s="97"/>
      <c r="L430" s="97"/>
      <c r="M430" s="7"/>
      <c r="N430" s="7"/>
      <c r="O430" s="7"/>
      <c r="P430" s="7"/>
      <c r="Q430" s="7"/>
      <c r="R430" s="7"/>
      <c r="S430" s="7"/>
      <c r="T430" s="7"/>
      <c r="U430" s="7"/>
      <c r="V430" s="7"/>
      <c r="W430" s="7"/>
    </row>
    <row r="431" spans="1:23" ht="15.75" customHeight="1" x14ac:dyDescent="0.2">
      <c r="A431" s="7"/>
      <c r="B431" s="55"/>
      <c r="C431" s="7"/>
      <c r="D431" s="7"/>
      <c r="E431" s="7"/>
      <c r="F431" s="7"/>
      <c r="G431" s="7"/>
      <c r="H431" s="55"/>
      <c r="I431" s="97"/>
      <c r="J431" s="97"/>
      <c r="K431" s="97"/>
      <c r="L431" s="97"/>
      <c r="M431" s="7"/>
      <c r="N431" s="7"/>
      <c r="O431" s="7"/>
      <c r="P431" s="7"/>
      <c r="Q431" s="7"/>
      <c r="R431" s="7"/>
      <c r="S431" s="7"/>
      <c r="T431" s="7"/>
      <c r="U431" s="7"/>
      <c r="V431" s="7"/>
      <c r="W431" s="7"/>
    </row>
    <row r="432" spans="1:23" ht="15.75" customHeight="1" x14ac:dyDescent="0.2">
      <c r="A432" s="7"/>
      <c r="B432" s="55"/>
      <c r="C432" s="7"/>
      <c r="D432" s="7"/>
      <c r="E432" s="7"/>
      <c r="F432" s="7"/>
      <c r="G432" s="7"/>
      <c r="H432" s="55"/>
      <c r="I432" s="97"/>
      <c r="J432" s="97"/>
      <c r="K432" s="97"/>
      <c r="L432" s="97"/>
      <c r="M432" s="7"/>
      <c r="N432" s="7"/>
      <c r="O432" s="7"/>
      <c r="P432" s="7"/>
      <c r="Q432" s="7"/>
      <c r="R432" s="7"/>
      <c r="S432" s="7"/>
      <c r="T432" s="7"/>
      <c r="U432" s="7"/>
      <c r="V432" s="7"/>
      <c r="W432" s="7"/>
    </row>
    <row r="433" spans="1:23" ht="15.75" customHeight="1" x14ac:dyDescent="0.2">
      <c r="A433" s="7"/>
      <c r="B433" s="55"/>
      <c r="C433" s="7"/>
      <c r="D433" s="7"/>
      <c r="E433" s="7"/>
      <c r="F433" s="7"/>
      <c r="G433" s="7"/>
      <c r="H433" s="55"/>
      <c r="I433" s="97"/>
      <c r="J433" s="97"/>
      <c r="K433" s="97"/>
      <c r="L433" s="97"/>
      <c r="M433" s="7"/>
      <c r="N433" s="7"/>
      <c r="O433" s="7"/>
      <c r="P433" s="7"/>
      <c r="Q433" s="7"/>
      <c r="R433" s="7"/>
      <c r="S433" s="7"/>
      <c r="T433" s="7"/>
      <c r="U433" s="7"/>
      <c r="V433" s="7"/>
      <c r="W433" s="7"/>
    </row>
    <row r="434" spans="1:23" ht="15.75" customHeight="1" x14ac:dyDescent="0.2">
      <c r="A434" s="7"/>
      <c r="B434" s="55"/>
      <c r="C434" s="7"/>
      <c r="D434" s="7"/>
      <c r="E434" s="7"/>
      <c r="F434" s="7"/>
      <c r="G434" s="7"/>
      <c r="H434" s="55"/>
      <c r="I434" s="97"/>
      <c r="J434" s="97"/>
      <c r="K434" s="97"/>
      <c r="L434" s="97"/>
      <c r="M434" s="7"/>
      <c r="N434" s="7"/>
      <c r="O434" s="7"/>
      <c r="P434" s="7"/>
      <c r="Q434" s="7"/>
      <c r="R434" s="7"/>
      <c r="S434" s="7"/>
      <c r="T434" s="7"/>
      <c r="U434" s="7"/>
      <c r="V434" s="7"/>
      <c r="W434" s="7"/>
    </row>
    <row r="435" spans="1:23" ht="15.75" customHeight="1" x14ac:dyDescent="0.2">
      <c r="A435" s="7"/>
      <c r="B435" s="55"/>
      <c r="C435" s="7"/>
      <c r="D435" s="7"/>
      <c r="E435" s="7"/>
      <c r="F435" s="7"/>
      <c r="G435" s="7"/>
      <c r="H435" s="55"/>
      <c r="I435" s="97"/>
      <c r="J435" s="97"/>
      <c r="K435" s="97"/>
      <c r="L435" s="97"/>
      <c r="M435" s="7"/>
      <c r="N435" s="7"/>
      <c r="O435" s="7"/>
      <c r="P435" s="7"/>
      <c r="Q435" s="7"/>
      <c r="R435" s="7"/>
      <c r="S435" s="7"/>
      <c r="T435" s="7"/>
      <c r="U435" s="7"/>
      <c r="V435" s="7"/>
      <c r="W435" s="7"/>
    </row>
    <row r="436" spans="1:23" ht="15.75" customHeight="1" x14ac:dyDescent="0.2">
      <c r="A436" s="7"/>
      <c r="B436" s="55"/>
      <c r="C436" s="7"/>
      <c r="D436" s="7"/>
      <c r="E436" s="7"/>
      <c r="F436" s="7"/>
      <c r="G436" s="7"/>
      <c r="H436" s="55"/>
      <c r="I436" s="97"/>
      <c r="J436" s="97"/>
      <c r="K436" s="97"/>
      <c r="L436" s="97"/>
      <c r="M436" s="7"/>
      <c r="N436" s="7"/>
      <c r="O436" s="7"/>
      <c r="P436" s="7"/>
      <c r="Q436" s="7"/>
      <c r="R436" s="7"/>
      <c r="S436" s="7"/>
      <c r="T436" s="7"/>
      <c r="U436" s="7"/>
      <c r="V436" s="7"/>
      <c r="W436" s="7"/>
    </row>
    <row r="437" spans="1:23" ht="15.75" customHeight="1" x14ac:dyDescent="0.2">
      <c r="A437" s="7"/>
      <c r="B437" s="55"/>
      <c r="C437" s="7"/>
      <c r="D437" s="7"/>
      <c r="E437" s="7"/>
      <c r="F437" s="7"/>
      <c r="G437" s="7"/>
      <c r="H437" s="55"/>
      <c r="I437" s="97"/>
      <c r="J437" s="97"/>
      <c r="K437" s="97"/>
      <c r="L437" s="97"/>
      <c r="M437" s="7"/>
      <c r="N437" s="7"/>
      <c r="O437" s="7"/>
      <c r="P437" s="7"/>
      <c r="Q437" s="7"/>
      <c r="R437" s="7"/>
      <c r="S437" s="7"/>
      <c r="T437" s="7"/>
      <c r="U437" s="7"/>
      <c r="V437" s="7"/>
      <c r="W437" s="7"/>
    </row>
    <row r="438" spans="1:23" ht="15.75" customHeight="1" x14ac:dyDescent="0.2">
      <c r="A438" s="7"/>
      <c r="B438" s="55"/>
      <c r="C438" s="7"/>
      <c r="D438" s="7"/>
      <c r="E438" s="7"/>
      <c r="F438" s="7"/>
      <c r="G438" s="7"/>
      <c r="H438" s="55"/>
      <c r="I438" s="97"/>
      <c r="J438" s="97"/>
      <c r="K438" s="97"/>
      <c r="L438" s="97"/>
      <c r="M438" s="7"/>
      <c r="N438" s="7"/>
      <c r="O438" s="7"/>
      <c r="P438" s="7"/>
      <c r="Q438" s="7"/>
      <c r="R438" s="7"/>
      <c r="S438" s="7"/>
      <c r="T438" s="7"/>
      <c r="U438" s="7"/>
      <c r="V438" s="7"/>
      <c r="W438" s="7"/>
    </row>
    <row r="439" spans="1:23" ht="15.75" customHeight="1" x14ac:dyDescent="0.2">
      <c r="A439" s="7"/>
      <c r="B439" s="55"/>
      <c r="C439" s="7"/>
      <c r="D439" s="7"/>
      <c r="E439" s="7"/>
      <c r="F439" s="7"/>
      <c r="G439" s="7"/>
      <c r="H439" s="55"/>
      <c r="I439" s="97"/>
      <c r="J439" s="97"/>
      <c r="K439" s="97"/>
      <c r="L439" s="97"/>
      <c r="M439" s="7"/>
      <c r="N439" s="7"/>
      <c r="O439" s="7"/>
      <c r="P439" s="7"/>
      <c r="Q439" s="7"/>
      <c r="R439" s="7"/>
      <c r="S439" s="7"/>
      <c r="T439" s="7"/>
      <c r="U439" s="7"/>
      <c r="V439" s="7"/>
      <c r="W439" s="7"/>
    </row>
    <row r="440" spans="1:23" ht="15.75" customHeight="1" x14ac:dyDescent="0.2">
      <c r="A440" s="7"/>
      <c r="B440" s="55"/>
      <c r="C440" s="7"/>
      <c r="D440" s="7"/>
      <c r="E440" s="7"/>
      <c r="F440" s="7"/>
      <c r="G440" s="7"/>
      <c r="H440" s="55"/>
      <c r="I440" s="97"/>
      <c r="J440" s="97"/>
      <c r="K440" s="97"/>
      <c r="L440" s="97"/>
      <c r="M440" s="7"/>
      <c r="N440" s="7"/>
      <c r="O440" s="7"/>
      <c r="P440" s="7"/>
      <c r="Q440" s="7"/>
      <c r="R440" s="7"/>
      <c r="S440" s="7"/>
      <c r="T440" s="7"/>
      <c r="U440" s="7"/>
      <c r="V440" s="7"/>
      <c r="W440" s="7"/>
    </row>
    <row r="441" spans="1:23" ht="15.75" customHeight="1" x14ac:dyDescent="0.2">
      <c r="A441" s="7"/>
      <c r="B441" s="55"/>
      <c r="C441" s="7"/>
      <c r="D441" s="7"/>
      <c r="E441" s="7"/>
      <c r="F441" s="7"/>
      <c r="G441" s="7"/>
      <c r="H441" s="55"/>
      <c r="I441" s="97"/>
      <c r="J441" s="97"/>
      <c r="K441" s="97"/>
      <c r="L441" s="97"/>
      <c r="M441" s="7"/>
      <c r="N441" s="7"/>
      <c r="O441" s="7"/>
      <c r="P441" s="7"/>
      <c r="Q441" s="7"/>
      <c r="R441" s="7"/>
      <c r="S441" s="7"/>
      <c r="T441" s="7"/>
      <c r="U441" s="7"/>
      <c r="V441" s="7"/>
      <c r="W441" s="7"/>
    </row>
    <row r="442" spans="1:23" ht="15.75" customHeight="1" x14ac:dyDescent="0.2">
      <c r="A442" s="7"/>
      <c r="B442" s="55"/>
      <c r="C442" s="7"/>
      <c r="D442" s="7"/>
      <c r="E442" s="7"/>
      <c r="F442" s="7"/>
      <c r="G442" s="7"/>
      <c r="H442" s="55"/>
      <c r="I442" s="97"/>
      <c r="J442" s="97"/>
      <c r="K442" s="97"/>
      <c r="L442" s="97"/>
      <c r="M442" s="7"/>
      <c r="N442" s="7"/>
      <c r="O442" s="7"/>
      <c r="P442" s="7"/>
      <c r="Q442" s="7"/>
      <c r="R442" s="7"/>
      <c r="S442" s="7"/>
      <c r="T442" s="7"/>
      <c r="U442" s="7"/>
      <c r="V442" s="7"/>
      <c r="W442" s="7"/>
    </row>
    <row r="443" spans="1:23" ht="15.75" customHeight="1" x14ac:dyDescent="0.2">
      <c r="A443" s="7"/>
      <c r="B443" s="55"/>
      <c r="C443" s="7"/>
      <c r="D443" s="7"/>
      <c r="E443" s="7"/>
      <c r="F443" s="7"/>
      <c r="G443" s="7"/>
      <c r="H443" s="55"/>
      <c r="I443" s="97"/>
      <c r="J443" s="97"/>
      <c r="K443" s="97"/>
      <c r="L443" s="97"/>
      <c r="M443" s="7"/>
      <c r="N443" s="7"/>
      <c r="O443" s="7"/>
      <c r="P443" s="7"/>
      <c r="Q443" s="7"/>
      <c r="R443" s="7"/>
      <c r="S443" s="7"/>
      <c r="T443" s="7"/>
      <c r="U443" s="7"/>
      <c r="V443" s="7"/>
      <c r="W443" s="7"/>
    </row>
    <row r="444" spans="1:23" ht="15.75" customHeight="1" x14ac:dyDescent="0.2">
      <c r="A444" s="7"/>
      <c r="B444" s="55"/>
      <c r="C444" s="7"/>
      <c r="D444" s="7"/>
      <c r="E444" s="7"/>
      <c r="F444" s="7"/>
      <c r="G444" s="7"/>
      <c r="H444" s="55"/>
      <c r="I444" s="97"/>
      <c r="J444" s="97"/>
      <c r="K444" s="97"/>
      <c r="L444" s="97"/>
      <c r="M444" s="7"/>
      <c r="N444" s="7"/>
      <c r="O444" s="7"/>
      <c r="P444" s="7"/>
      <c r="Q444" s="7"/>
      <c r="R444" s="7"/>
      <c r="S444" s="7"/>
      <c r="T444" s="7"/>
      <c r="U444" s="7"/>
      <c r="V444" s="7"/>
      <c r="W444" s="7"/>
    </row>
    <row r="445" spans="1:23" ht="15.75" customHeight="1" x14ac:dyDescent="0.2">
      <c r="A445" s="7"/>
      <c r="B445" s="7"/>
      <c r="C445" s="7"/>
      <c r="D445" s="7"/>
      <c r="E445" s="7"/>
      <c r="F445" s="7"/>
      <c r="G445" s="7"/>
      <c r="H445" s="7"/>
      <c r="I445" s="7"/>
      <c r="J445" s="7"/>
      <c r="K445" s="7"/>
      <c r="L445" s="7"/>
      <c r="M445" s="7"/>
      <c r="N445" s="7"/>
      <c r="O445" s="7"/>
      <c r="P445" s="7"/>
      <c r="Q445" s="7"/>
      <c r="R445" s="7"/>
      <c r="S445" s="7"/>
      <c r="T445" s="7"/>
      <c r="U445" s="7"/>
      <c r="V445" s="7"/>
      <c r="W445" s="7"/>
    </row>
    <row r="446" spans="1:23" ht="15.75" customHeight="1" x14ac:dyDescent="0.2">
      <c r="A446" s="7"/>
      <c r="B446" s="7"/>
      <c r="C446" s="7"/>
      <c r="D446" s="7"/>
      <c r="E446" s="7"/>
      <c r="F446" s="7"/>
      <c r="G446" s="7"/>
      <c r="H446" s="7"/>
      <c r="I446" s="7"/>
      <c r="J446" s="7"/>
      <c r="K446" s="7"/>
      <c r="L446" s="7"/>
      <c r="M446" s="7"/>
      <c r="N446" s="7"/>
      <c r="O446" s="7"/>
      <c r="P446" s="7"/>
      <c r="Q446" s="7"/>
      <c r="R446" s="7"/>
      <c r="S446" s="7"/>
      <c r="T446" s="7"/>
      <c r="U446" s="7"/>
      <c r="V446" s="7"/>
      <c r="W446" s="7"/>
    </row>
    <row r="447" spans="1:23" ht="15.75" customHeight="1" x14ac:dyDescent="0.2">
      <c r="A447" s="7"/>
      <c r="B447" s="7"/>
      <c r="C447" s="7"/>
      <c r="D447" s="7"/>
      <c r="E447" s="7"/>
      <c r="F447" s="7"/>
      <c r="G447" s="7"/>
      <c r="H447" s="7"/>
      <c r="I447" s="7"/>
      <c r="J447" s="7"/>
      <c r="K447" s="7"/>
      <c r="L447" s="7"/>
      <c r="M447" s="7"/>
      <c r="N447" s="7"/>
      <c r="O447" s="7"/>
      <c r="P447" s="7"/>
      <c r="Q447" s="7"/>
      <c r="R447" s="7"/>
      <c r="S447" s="7"/>
      <c r="T447" s="7"/>
      <c r="U447" s="7"/>
      <c r="V447" s="7"/>
      <c r="W447" s="7"/>
    </row>
    <row r="448" spans="1:23" ht="15.75" customHeight="1" x14ac:dyDescent="0.2">
      <c r="A448" s="7"/>
      <c r="B448" s="7"/>
      <c r="C448" s="7"/>
      <c r="D448" s="7"/>
      <c r="E448" s="7"/>
      <c r="F448" s="7"/>
      <c r="G448" s="7"/>
      <c r="H448" s="7"/>
      <c r="I448" s="7"/>
      <c r="J448" s="7"/>
      <c r="K448" s="7"/>
      <c r="L448" s="7"/>
      <c r="M448" s="7"/>
      <c r="N448" s="7"/>
      <c r="O448" s="7"/>
      <c r="P448" s="7"/>
      <c r="Q448" s="7"/>
      <c r="R448" s="7"/>
      <c r="S448" s="7"/>
      <c r="T448" s="7"/>
      <c r="U448" s="7"/>
      <c r="V448" s="7"/>
      <c r="W448" s="7"/>
    </row>
    <row r="449" spans="1:23" ht="15.75" customHeight="1" x14ac:dyDescent="0.2">
      <c r="A449" s="7"/>
      <c r="B449" s="7"/>
      <c r="C449" s="7"/>
      <c r="D449" s="7"/>
      <c r="E449" s="7"/>
      <c r="F449" s="7"/>
      <c r="G449" s="7"/>
      <c r="H449" s="7"/>
      <c r="I449" s="7"/>
      <c r="J449" s="7"/>
      <c r="K449" s="7"/>
      <c r="L449" s="7"/>
      <c r="M449" s="7"/>
      <c r="N449" s="7"/>
      <c r="O449" s="7"/>
      <c r="P449" s="7"/>
      <c r="Q449" s="7"/>
      <c r="R449" s="7"/>
      <c r="S449" s="7"/>
      <c r="T449" s="7"/>
      <c r="U449" s="7"/>
      <c r="V449" s="7"/>
      <c r="W449" s="7"/>
    </row>
    <row r="450" spans="1:23" ht="15.75" customHeight="1" x14ac:dyDescent="0.2">
      <c r="A450" s="7"/>
      <c r="B450" s="7"/>
      <c r="C450" s="7"/>
      <c r="D450" s="7"/>
      <c r="E450" s="7"/>
      <c r="F450" s="7"/>
      <c r="G450" s="7"/>
      <c r="H450" s="7"/>
      <c r="I450" s="7"/>
      <c r="J450" s="7"/>
      <c r="K450" s="7"/>
      <c r="L450" s="7"/>
      <c r="M450" s="7"/>
      <c r="N450" s="7"/>
      <c r="O450" s="7"/>
      <c r="P450" s="7"/>
      <c r="Q450" s="7"/>
      <c r="R450" s="7"/>
      <c r="S450" s="7"/>
      <c r="T450" s="7"/>
      <c r="U450" s="7"/>
      <c r="V450" s="7"/>
      <c r="W450" s="7"/>
    </row>
    <row r="451" spans="1:23" ht="15.75" customHeight="1" x14ac:dyDescent="0.2">
      <c r="A451" s="7"/>
      <c r="B451" s="7"/>
      <c r="C451" s="7"/>
      <c r="D451" s="7"/>
      <c r="E451" s="7"/>
      <c r="F451" s="7"/>
      <c r="G451" s="7"/>
      <c r="H451" s="7"/>
      <c r="I451" s="7"/>
      <c r="J451" s="7"/>
      <c r="K451" s="7"/>
      <c r="L451" s="7"/>
      <c r="M451" s="7"/>
      <c r="N451" s="7"/>
      <c r="O451" s="7"/>
      <c r="P451" s="7"/>
      <c r="Q451" s="7"/>
      <c r="R451" s="7"/>
      <c r="S451" s="7"/>
      <c r="T451" s="7"/>
      <c r="U451" s="7"/>
      <c r="V451" s="7"/>
      <c r="W451" s="7"/>
    </row>
    <row r="452" spans="1:23" ht="15.75" customHeight="1" x14ac:dyDescent="0.2">
      <c r="A452" s="7"/>
      <c r="B452" s="7"/>
      <c r="C452" s="7"/>
      <c r="D452" s="7"/>
      <c r="E452" s="7"/>
      <c r="F452" s="7"/>
      <c r="G452" s="7"/>
      <c r="H452" s="7"/>
      <c r="I452" s="7"/>
      <c r="J452" s="7"/>
      <c r="K452" s="7"/>
      <c r="L452" s="7"/>
      <c r="M452" s="7"/>
      <c r="N452" s="7"/>
      <c r="O452" s="7"/>
      <c r="P452" s="7"/>
      <c r="Q452" s="7"/>
      <c r="R452" s="7"/>
      <c r="S452" s="7"/>
      <c r="T452" s="7"/>
      <c r="U452" s="7"/>
      <c r="V452" s="7"/>
      <c r="W452" s="7"/>
    </row>
    <row r="453" spans="1:23" ht="15.75" customHeight="1" x14ac:dyDescent="0.2">
      <c r="A453" s="7"/>
      <c r="B453" s="7"/>
      <c r="C453" s="7"/>
      <c r="D453" s="7"/>
      <c r="E453" s="7"/>
      <c r="F453" s="7"/>
      <c r="G453" s="7"/>
      <c r="H453" s="7"/>
      <c r="I453" s="7"/>
      <c r="J453" s="7"/>
      <c r="K453" s="7"/>
      <c r="L453" s="7"/>
      <c r="M453" s="7"/>
      <c r="N453" s="7"/>
      <c r="O453" s="7"/>
      <c r="P453" s="7"/>
      <c r="Q453" s="7"/>
      <c r="R453" s="7"/>
      <c r="S453" s="7"/>
      <c r="T453" s="7"/>
      <c r="U453" s="7"/>
      <c r="V453" s="7"/>
      <c r="W453" s="7"/>
    </row>
    <row r="454" spans="1:23" ht="15.75" customHeight="1" x14ac:dyDescent="0.2">
      <c r="A454" s="7"/>
      <c r="B454" s="7"/>
      <c r="C454" s="7"/>
      <c r="D454" s="7"/>
      <c r="E454" s="7"/>
      <c r="F454" s="7"/>
      <c r="G454" s="7"/>
      <c r="H454" s="7"/>
      <c r="I454" s="7"/>
      <c r="J454" s="7"/>
      <c r="K454" s="7"/>
      <c r="L454" s="7"/>
      <c r="M454" s="7"/>
      <c r="N454" s="7"/>
      <c r="O454" s="7"/>
      <c r="P454" s="7"/>
      <c r="Q454" s="7"/>
      <c r="R454" s="7"/>
      <c r="S454" s="7"/>
      <c r="T454" s="7"/>
      <c r="U454" s="7"/>
      <c r="V454" s="7"/>
      <c r="W454" s="7"/>
    </row>
    <row r="455" spans="1:23" ht="15.75" customHeight="1" x14ac:dyDescent="0.2">
      <c r="A455" s="7"/>
      <c r="B455" s="7"/>
      <c r="C455" s="7"/>
      <c r="D455" s="7"/>
      <c r="E455" s="7"/>
      <c r="F455" s="7"/>
      <c r="G455" s="7"/>
      <c r="H455" s="7"/>
      <c r="I455" s="7"/>
      <c r="J455" s="7"/>
      <c r="K455" s="7"/>
      <c r="L455" s="7"/>
      <c r="M455" s="7"/>
      <c r="N455" s="7"/>
      <c r="O455" s="7"/>
      <c r="P455" s="7"/>
      <c r="Q455" s="7"/>
      <c r="R455" s="7"/>
      <c r="S455" s="7"/>
      <c r="T455" s="7"/>
      <c r="U455" s="7"/>
      <c r="V455" s="7"/>
      <c r="W455" s="7"/>
    </row>
    <row r="456" spans="1:23" ht="15.75" customHeight="1" x14ac:dyDescent="0.2">
      <c r="A456" s="7"/>
      <c r="B456" s="7"/>
      <c r="C456" s="7"/>
      <c r="D456" s="7"/>
      <c r="E456" s="7"/>
      <c r="F456" s="7"/>
      <c r="G456" s="7"/>
      <c r="H456" s="7"/>
      <c r="I456" s="7"/>
      <c r="J456" s="7"/>
      <c r="K456" s="7"/>
      <c r="L456" s="7"/>
      <c r="M456" s="7"/>
      <c r="N456" s="7"/>
      <c r="O456" s="7"/>
      <c r="P456" s="7"/>
      <c r="Q456" s="7"/>
      <c r="R456" s="7"/>
      <c r="S456" s="7"/>
      <c r="T456" s="7"/>
      <c r="U456" s="7"/>
      <c r="V456" s="7"/>
      <c r="W456" s="7"/>
    </row>
    <row r="457" spans="1:23" ht="15.75" customHeight="1" x14ac:dyDescent="0.2">
      <c r="A457" s="7"/>
      <c r="B457" s="7"/>
      <c r="C457" s="7"/>
      <c r="D457" s="7"/>
      <c r="E457" s="7"/>
      <c r="F457" s="7"/>
      <c r="G457" s="7"/>
      <c r="H457" s="7"/>
      <c r="I457" s="7"/>
      <c r="J457" s="7"/>
      <c r="K457" s="7"/>
      <c r="L457" s="7"/>
      <c r="M457" s="7"/>
      <c r="N457" s="7"/>
      <c r="O457" s="7"/>
      <c r="P457" s="7"/>
      <c r="Q457" s="7"/>
      <c r="R457" s="7"/>
      <c r="S457" s="7"/>
      <c r="T457" s="7"/>
      <c r="U457" s="7"/>
      <c r="V457" s="7"/>
      <c r="W457" s="7"/>
    </row>
    <row r="458" spans="1:23" ht="15.75" customHeight="1" x14ac:dyDescent="0.2">
      <c r="A458" s="7"/>
      <c r="B458" s="7"/>
      <c r="C458" s="7"/>
      <c r="D458" s="7"/>
      <c r="E458" s="7"/>
      <c r="F458" s="7"/>
      <c r="G458" s="7"/>
      <c r="H458" s="7"/>
      <c r="I458" s="7"/>
      <c r="J458" s="7"/>
      <c r="K458" s="7"/>
      <c r="L458" s="7"/>
      <c r="M458" s="7"/>
      <c r="N458" s="7"/>
      <c r="O458" s="7"/>
      <c r="P458" s="7"/>
      <c r="Q458" s="7"/>
      <c r="R458" s="7"/>
      <c r="S458" s="7"/>
      <c r="T458" s="7"/>
      <c r="U458" s="7"/>
      <c r="V458" s="7"/>
      <c r="W458" s="7"/>
    </row>
    <row r="459" spans="1:23" ht="15.75" customHeight="1" x14ac:dyDescent="0.2">
      <c r="A459" s="7"/>
      <c r="B459" s="7"/>
      <c r="C459" s="7"/>
      <c r="D459" s="7"/>
      <c r="E459" s="7"/>
      <c r="F459" s="7"/>
      <c r="G459" s="7"/>
      <c r="H459" s="7"/>
      <c r="I459" s="7"/>
      <c r="J459" s="7"/>
      <c r="K459" s="7"/>
      <c r="L459" s="7"/>
      <c r="M459" s="7"/>
      <c r="N459" s="7"/>
      <c r="O459" s="7"/>
      <c r="P459" s="7"/>
      <c r="Q459" s="7"/>
      <c r="R459" s="7"/>
      <c r="S459" s="7"/>
      <c r="T459" s="7"/>
      <c r="U459" s="7"/>
      <c r="V459" s="7"/>
      <c r="W459" s="7"/>
    </row>
    <row r="460" spans="1:23" ht="15.75" customHeight="1" x14ac:dyDescent="0.2">
      <c r="A460" s="7"/>
      <c r="B460" s="7"/>
      <c r="C460" s="7"/>
      <c r="D460" s="7"/>
      <c r="E460" s="7"/>
      <c r="F460" s="7"/>
      <c r="G460" s="7"/>
      <c r="H460" s="7"/>
      <c r="I460" s="7"/>
      <c r="J460" s="7"/>
      <c r="K460" s="7"/>
      <c r="L460" s="7"/>
      <c r="M460" s="7"/>
      <c r="N460" s="7"/>
      <c r="O460" s="7"/>
      <c r="P460" s="7"/>
      <c r="Q460" s="7"/>
      <c r="R460" s="7"/>
      <c r="S460" s="7"/>
      <c r="T460" s="7"/>
      <c r="U460" s="7"/>
      <c r="V460" s="7"/>
      <c r="W460" s="7"/>
    </row>
    <row r="461" spans="1:23" ht="15.75" customHeight="1" x14ac:dyDescent="0.2">
      <c r="A461" s="7"/>
      <c r="B461" s="7"/>
      <c r="C461" s="7"/>
      <c r="D461" s="7"/>
      <c r="E461" s="7"/>
      <c r="F461" s="7"/>
      <c r="G461" s="7"/>
      <c r="H461" s="7"/>
      <c r="I461" s="7"/>
      <c r="J461" s="7"/>
      <c r="K461" s="7"/>
      <c r="L461" s="7"/>
      <c r="M461" s="7"/>
      <c r="N461" s="7"/>
      <c r="O461" s="7"/>
      <c r="P461" s="7"/>
      <c r="Q461" s="7"/>
      <c r="R461" s="7"/>
      <c r="S461" s="7"/>
      <c r="T461" s="7"/>
      <c r="U461" s="7"/>
      <c r="V461" s="7"/>
      <c r="W461" s="7"/>
    </row>
    <row r="462" spans="1:23" ht="15.75" customHeight="1" x14ac:dyDescent="0.2">
      <c r="A462" s="7"/>
      <c r="B462" s="7"/>
      <c r="C462" s="7"/>
      <c r="D462" s="7"/>
      <c r="E462" s="7"/>
      <c r="F462" s="7"/>
      <c r="G462" s="7"/>
      <c r="H462" s="7"/>
      <c r="I462" s="7"/>
      <c r="J462" s="7"/>
      <c r="K462" s="7"/>
      <c r="L462" s="7"/>
      <c r="M462" s="7"/>
      <c r="N462" s="7"/>
      <c r="O462" s="7"/>
      <c r="P462" s="7"/>
      <c r="Q462" s="7"/>
      <c r="R462" s="7"/>
      <c r="S462" s="7"/>
      <c r="T462" s="7"/>
      <c r="U462" s="7"/>
      <c r="V462" s="7"/>
      <c r="W462" s="7"/>
    </row>
    <row r="463" spans="1:23" ht="15.75" customHeight="1" x14ac:dyDescent="0.2">
      <c r="A463" s="7"/>
      <c r="B463" s="7"/>
      <c r="C463" s="7"/>
      <c r="D463" s="7"/>
      <c r="E463" s="7"/>
      <c r="F463" s="7"/>
      <c r="G463" s="7"/>
      <c r="H463" s="7"/>
      <c r="I463" s="7"/>
      <c r="J463" s="7"/>
      <c r="K463" s="7"/>
      <c r="L463" s="7"/>
      <c r="M463" s="7"/>
      <c r="N463" s="7"/>
      <c r="O463" s="7"/>
      <c r="P463" s="7"/>
      <c r="Q463" s="7"/>
      <c r="R463" s="7"/>
      <c r="S463" s="7"/>
      <c r="T463" s="7"/>
      <c r="U463" s="7"/>
      <c r="V463" s="7"/>
      <c r="W463" s="7"/>
    </row>
    <row r="464" spans="1:23" ht="15.75" customHeight="1" x14ac:dyDescent="0.2">
      <c r="A464" s="7"/>
      <c r="B464" s="7"/>
      <c r="C464" s="7"/>
      <c r="D464" s="7"/>
      <c r="E464" s="7"/>
      <c r="F464" s="7"/>
      <c r="G464" s="7"/>
      <c r="H464" s="7"/>
      <c r="I464" s="7"/>
      <c r="J464" s="7"/>
      <c r="K464" s="7"/>
      <c r="L464" s="7"/>
      <c r="M464" s="7"/>
      <c r="N464" s="7"/>
      <c r="O464" s="7"/>
      <c r="P464" s="7"/>
      <c r="Q464" s="7"/>
      <c r="R464" s="7"/>
      <c r="S464" s="7"/>
      <c r="T464" s="7"/>
      <c r="U464" s="7"/>
      <c r="V464" s="7"/>
      <c r="W464" s="7"/>
    </row>
    <row r="465" spans="1:23" ht="15.75" customHeight="1" x14ac:dyDescent="0.2">
      <c r="A465" s="7"/>
      <c r="B465" s="7"/>
      <c r="C465" s="7"/>
      <c r="D465" s="7"/>
      <c r="E465" s="7"/>
      <c r="F465" s="7"/>
      <c r="G465" s="7"/>
      <c r="H465" s="7"/>
      <c r="I465" s="7"/>
      <c r="J465" s="7"/>
      <c r="K465" s="7"/>
      <c r="L465" s="7"/>
      <c r="M465" s="7"/>
      <c r="N465" s="7"/>
      <c r="O465" s="7"/>
      <c r="P465" s="7"/>
      <c r="Q465" s="7"/>
      <c r="R465" s="7"/>
      <c r="S465" s="7"/>
      <c r="T465" s="7"/>
      <c r="U465" s="7"/>
      <c r="V465" s="7"/>
      <c r="W465" s="7"/>
    </row>
    <row r="466" spans="1:23" ht="15.75" customHeight="1" x14ac:dyDescent="0.2">
      <c r="A466" s="7"/>
      <c r="B466" s="7"/>
      <c r="C466" s="7"/>
      <c r="D466" s="7"/>
      <c r="E466" s="7"/>
      <c r="F466" s="7"/>
      <c r="G466" s="7"/>
      <c r="H466" s="7"/>
      <c r="I466" s="7"/>
      <c r="J466" s="7"/>
      <c r="K466" s="7"/>
      <c r="L466" s="7"/>
      <c r="M466" s="7"/>
      <c r="N466" s="7"/>
      <c r="O466" s="7"/>
      <c r="P466" s="7"/>
      <c r="Q466" s="7"/>
      <c r="R466" s="7"/>
      <c r="S466" s="7"/>
      <c r="T466" s="7"/>
      <c r="U466" s="7"/>
      <c r="V466" s="7"/>
      <c r="W466" s="7"/>
    </row>
    <row r="467" spans="1:23" ht="15.75" customHeight="1" x14ac:dyDescent="0.2">
      <c r="A467" s="7"/>
      <c r="B467" s="7"/>
      <c r="C467" s="7"/>
      <c r="D467" s="7"/>
      <c r="E467" s="7"/>
      <c r="F467" s="7"/>
      <c r="G467" s="7"/>
      <c r="H467" s="7"/>
      <c r="I467" s="7"/>
      <c r="J467" s="7"/>
      <c r="K467" s="7"/>
      <c r="L467" s="7"/>
      <c r="M467" s="7"/>
      <c r="N467" s="7"/>
      <c r="O467" s="7"/>
      <c r="P467" s="7"/>
      <c r="Q467" s="7"/>
      <c r="R467" s="7"/>
      <c r="S467" s="7"/>
      <c r="T467" s="7"/>
      <c r="U467" s="7"/>
      <c r="V467" s="7"/>
      <c r="W467" s="7"/>
    </row>
    <row r="468" spans="1:23" ht="15.75" customHeight="1" x14ac:dyDescent="0.2">
      <c r="A468" s="7"/>
      <c r="B468" s="7"/>
      <c r="C468" s="7"/>
      <c r="D468" s="7"/>
      <c r="E468" s="7"/>
      <c r="F468" s="7"/>
      <c r="G468" s="7"/>
      <c r="H468" s="7"/>
      <c r="I468" s="7"/>
      <c r="J468" s="7"/>
      <c r="K468" s="7"/>
      <c r="L468" s="7"/>
      <c r="M468" s="7"/>
      <c r="N468" s="7"/>
      <c r="O468" s="7"/>
      <c r="P468" s="7"/>
      <c r="Q468" s="7"/>
      <c r="R468" s="7"/>
      <c r="S468" s="7"/>
      <c r="T468" s="7"/>
      <c r="U468" s="7"/>
      <c r="V468" s="7"/>
      <c r="W468" s="7"/>
    </row>
    <row r="469" spans="1:23" ht="15.75" customHeight="1" x14ac:dyDescent="0.2">
      <c r="A469" s="7"/>
      <c r="B469" s="7"/>
      <c r="C469" s="7"/>
      <c r="D469" s="7"/>
      <c r="E469" s="7"/>
      <c r="F469" s="7"/>
      <c r="G469" s="7"/>
      <c r="H469" s="7"/>
      <c r="I469" s="7"/>
      <c r="J469" s="7"/>
      <c r="K469" s="7"/>
      <c r="L469" s="7"/>
      <c r="M469" s="7"/>
      <c r="N469" s="7"/>
      <c r="O469" s="7"/>
      <c r="P469" s="7"/>
      <c r="Q469" s="7"/>
      <c r="R469" s="7"/>
      <c r="S469" s="7"/>
      <c r="T469" s="7"/>
      <c r="U469" s="7"/>
      <c r="V469" s="7"/>
      <c r="W469" s="7"/>
    </row>
    <row r="470" spans="1:23" ht="15.75" customHeight="1" x14ac:dyDescent="0.2">
      <c r="A470" s="7"/>
      <c r="B470" s="7"/>
      <c r="C470" s="7"/>
      <c r="D470" s="7"/>
      <c r="E470" s="7"/>
      <c r="F470" s="7"/>
      <c r="G470" s="7"/>
      <c r="H470" s="7"/>
      <c r="I470" s="7"/>
      <c r="J470" s="7"/>
      <c r="K470" s="7"/>
      <c r="L470" s="7"/>
      <c r="M470" s="7"/>
      <c r="N470" s="7"/>
      <c r="O470" s="7"/>
      <c r="P470" s="7"/>
      <c r="Q470" s="7"/>
      <c r="R470" s="7"/>
      <c r="S470" s="7"/>
      <c r="T470" s="7"/>
      <c r="U470" s="7"/>
      <c r="V470" s="7"/>
      <c r="W470" s="7"/>
    </row>
    <row r="471" spans="1:23" ht="15.75" customHeight="1" x14ac:dyDescent="0.2">
      <c r="A471" s="7"/>
      <c r="B471" s="7"/>
      <c r="C471" s="7"/>
      <c r="D471" s="7"/>
      <c r="E471" s="7"/>
      <c r="F471" s="7"/>
      <c r="G471" s="7"/>
      <c r="H471" s="7"/>
      <c r="I471" s="7"/>
      <c r="J471" s="7"/>
      <c r="K471" s="7"/>
      <c r="L471" s="7"/>
      <c r="M471" s="7"/>
      <c r="N471" s="7"/>
      <c r="O471" s="7"/>
      <c r="P471" s="7"/>
      <c r="Q471" s="7"/>
      <c r="R471" s="7"/>
      <c r="S471" s="7"/>
      <c r="T471" s="7"/>
      <c r="U471" s="7"/>
      <c r="V471" s="7"/>
      <c r="W471" s="7"/>
    </row>
    <row r="472" spans="1:23" ht="15.75" customHeight="1" x14ac:dyDescent="0.2">
      <c r="A472" s="7"/>
      <c r="B472" s="7"/>
      <c r="C472" s="7"/>
      <c r="D472" s="7"/>
      <c r="E472" s="7"/>
      <c r="F472" s="7"/>
      <c r="G472" s="7"/>
      <c r="H472" s="7"/>
      <c r="I472" s="7"/>
      <c r="J472" s="7"/>
      <c r="K472" s="7"/>
      <c r="L472" s="7"/>
      <c r="M472" s="7"/>
      <c r="N472" s="7"/>
      <c r="O472" s="7"/>
      <c r="P472" s="7"/>
      <c r="Q472" s="7"/>
      <c r="R472" s="7"/>
      <c r="S472" s="7"/>
      <c r="T472" s="7"/>
      <c r="U472" s="7"/>
      <c r="V472" s="7"/>
      <c r="W472" s="7"/>
    </row>
    <row r="473" spans="1:23" ht="15.75" customHeight="1" x14ac:dyDescent="0.2">
      <c r="A473" s="7"/>
      <c r="B473" s="7"/>
      <c r="C473" s="7"/>
      <c r="D473" s="7"/>
      <c r="E473" s="7"/>
      <c r="F473" s="7"/>
      <c r="G473" s="7"/>
      <c r="H473" s="7"/>
      <c r="I473" s="7"/>
      <c r="J473" s="7"/>
      <c r="K473" s="7"/>
      <c r="L473" s="7"/>
      <c r="M473" s="7"/>
      <c r="N473" s="7"/>
      <c r="O473" s="7"/>
      <c r="P473" s="7"/>
      <c r="Q473" s="7"/>
      <c r="R473" s="7"/>
      <c r="S473" s="7"/>
      <c r="T473" s="7"/>
      <c r="U473" s="7"/>
      <c r="V473" s="7"/>
      <c r="W473" s="7"/>
    </row>
    <row r="474" spans="1:23" ht="15.75" customHeight="1" x14ac:dyDescent="0.2">
      <c r="A474" s="7"/>
      <c r="B474" s="7"/>
      <c r="C474" s="7"/>
      <c r="D474" s="7"/>
      <c r="E474" s="7"/>
      <c r="F474" s="7"/>
      <c r="G474" s="7"/>
      <c r="H474" s="7"/>
      <c r="I474" s="7"/>
      <c r="J474" s="7"/>
      <c r="K474" s="7"/>
      <c r="L474" s="7"/>
      <c r="M474" s="7"/>
      <c r="N474" s="7"/>
      <c r="O474" s="7"/>
      <c r="P474" s="7"/>
      <c r="Q474" s="7"/>
      <c r="R474" s="7"/>
      <c r="S474" s="7"/>
      <c r="T474" s="7"/>
      <c r="U474" s="7"/>
      <c r="V474" s="7"/>
      <c r="W474" s="7"/>
    </row>
    <row r="475" spans="1:23" ht="15.75" customHeight="1" x14ac:dyDescent="0.2">
      <c r="A475" s="7"/>
      <c r="B475" s="7"/>
      <c r="C475" s="7"/>
      <c r="D475" s="7"/>
      <c r="E475" s="7"/>
      <c r="F475" s="7"/>
      <c r="G475" s="7"/>
      <c r="H475" s="7"/>
      <c r="I475" s="7"/>
      <c r="J475" s="7"/>
      <c r="K475" s="7"/>
      <c r="L475" s="7"/>
      <c r="M475" s="7"/>
      <c r="N475" s="7"/>
      <c r="O475" s="7"/>
      <c r="P475" s="7"/>
      <c r="Q475" s="7"/>
      <c r="R475" s="7"/>
      <c r="S475" s="7"/>
      <c r="T475" s="7"/>
      <c r="U475" s="7"/>
      <c r="V475" s="7"/>
      <c r="W475" s="7"/>
    </row>
    <row r="476" spans="1:23" ht="15.75" customHeight="1" x14ac:dyDescent="0.2">
      <c r="A476" s="7"/>
      <c r="B476" s="7"/>
      <c r="C476" s="7"/>
      <c r="D476" s="7"/>
      <c r="E476" s="7"/>
      <c r="F476" s="7"/>
      <c r="G476" s="7"/>
      <c r="H476" s="7"/>
      <c r="I476" s="7"/>
      <c r="J476" s="7"/>
      <c r="K476" s="7"/>
      <c r="L476" s="7"/>
      <c r="M476" s="7"/>
      <c r="N476" s="7"/>
      <c r="O476" s="7"/>
      <c r="P476" s="7"/>
      <c r="Q476" s="7"/>
      <c r="R476" s="7"/>
      <c r="S476" s="7"/>
      <c r="T476" s="7"/>
      <c r="U476" s="7"/>
      <c r="V476" s="7"/>
      <c r="W476" s="7"/>
    </row>
    <row r="477" spans="1:23" ht="15.75" customHeight="1" x14ac:dyDescent="0.2">
      <c r="A477" s="7"/>
      <c r="B477" s="7"/>
      <c r="C477" s="7"/>
      <c r="D477" s="7"/>
      <c r="E477" s="7"/>
      <c r="F477" s="7"/>
      <c r="G477" s="7"/>
      <c r="H477" s="7"/>
      <c r="I477" s="7"/>
      <c r="J477" s="7"/>
      <c r="K477" s="7"/>
      <c r="L477" s="7"/>
      <c r="M477" s="7"/>
      <c r="N477" s="7"/>
      <c r="O477" s="7"/>
      <c r="P477" s="7"/>
      <c r="Q477" s="7"/>
      <c r="R477" s="7"/>
      <c r="S477" s="7"/>
      <c r="T477" s="7"/>
      <c r="U477" s="7"/>
      <c r="V477" s="7"/>
      <c r="W477" s="7"/>
    </row>
    <row r="478" spans="1:23" ht="15.75" customHeight="1" x14ac:dyDescent="0.2">
      <c r="A478" s="7"/>
      <c r="B478" s="7"/>
      <c r="C478" s="7"/>
      <c r="D478" s="7"/>
      <c r="E478" s="7"/>
      <c r="F478" s="7"/>
      <c r="G478" s="7"/>
      <c r="H478" s="7"/>
      <c r="I478" s="7"/>
      <c r="J478" s="7"/>
      <c r="K478" s="7"/>
      <c r="L478" s="7"/>
      <c r="M478" s="7"/>
      <c r="N478" s="7"/>
      <c r="O478" s="7"/>
      <c r="P478" s="7"/>
      <c r="Q478" s="7"/>
      <c r="R478" s="7"/>
      <c r="S478" s="7"/>
      <c r="T478" s="7"/>
      <c r="U478" s="7"/>
      <c r="V478" s="7"/>
      <c r="W478" s="7"/>
    </row>
    <row r="479" spans="1:23" ht="15.75" customHeight="1" x14ac:dyDescent="0.2">
      <c r="A479" s="7"/>
      <c r="B479" s="7"/>
      <c r="C479" s="7"/>
      <c r="D479" s="7"/>
      <c r="E479" s="7"/>
      <c r="F479" s="7"/>
      <c r="G479" s="7"/>
      <c r="H479" s="7"/>
      <c r="I479" s="7"/>
      <c r="J479" s="7"/>
      <c r="K479" s="7"/>
      <c r="L479" s="7"/>
      <c r="M479" s="7"/>
      <c r="N479" s="7"/>
      <c r="O479" s="7"/>
      <c r="P479" s="7"/>
      <c r="Q479" s="7"/>
      <c r="R479" s="7"/>
      <c r="S479" s="7"/>
      <c r="T479" s="7"/>
      <c r="U479" s="7"/>
      <c r="V479" s="7"/>
      <c r="W479" s="7"/>
    </row>
    <row r="480" spans="1:23" ht="15.75" customHeight="1" x14ac:dyDescent="0.2">
      <c r="A480" s="7"/>
      <c r="B480" s="7"/>
      <c r="C480" s="7"/>
      <c r="D480" s="7"/>
      <c r="E480" s="7"/>
      <c r="F480" s="7"/>
      <c r="G480" s="7"/>
      <c r="H480" s="7"/>
      <c r="I480" s="7"/>
      <c r="J480" s="7"/>
      <c r="K480" s="7"/>
      <c r="L480" s="7"/>
      <c r="M480" s="7"/>
      <c r="N480" s="7"/>
      <c r="O480" s="7"/>
      <c r="P480" s="7"/>
      <c r="Q480" s="7"/>
      <c r="R480" s="7"/>
      <c r="S480" s="7"/>
      <c r="T480" s="7"/>
      <c r="U480" s="7"/>
      <c r="V480" s="7"/>
      <c r="W480" s="7"/>
    </row>
    <row r="481" spans="1:23" ht="15.75" customHeight="1" x14ac:dyDescent="0.2">
      <c r="A481" s="7"/>
      <c r="B481" s="7"/>
      <c r="C481" s="7"/>
      <c r="D481" s="7"/>
      <c r="E481" s="7"/>
      <c r="F481" s="7"/>
      <c r="G481" s="7"/>
      <c r="H481" s="7"/>
      <c r="I481" s="7"/>
      <c r="J481" s="7"/>
      <c r="K481" s="7"/>
      <c r="L481" s="7"/>
      <c r="M481" s="7"/>
      <c r="N481" s="7"/>
      <c r="O481" s="7"/>
      <c r="P481" s="7"/>
      <c r="Q481" s="7"/>
      <c r="R481" s="7"/>
      <c r="S481" s="7"/>
      <c r="T481" s="7"/>
      <c r="U481" s="7"/>
      <c r="V481" s="7"/>
      <c r="W481" s="7"/>
    </row>
    <row r="482" spans="1:23" ht="15.75" customHeight="1" x14ac:dyDescent="0.2">
      <c r="A482" s="7"/>
      <c r="B482" s="7"/>
      <c r="C482" s="7"/>
      <c r="D482" s="7"/>
      <c r="E482" s="7"/>
      <c r="F482" s="7"/>
      <c r="G482" s="7"/>
      <c r="H482" s="7"/>
      <c r="I482" s="7"/>
      <c r="J482" s="7"/>
      <c r="K482" s="7"/>
      <c r="L482" s="7"/>
      <c r="M482" s="7"/>
      <c r="N482" s="7"/>
      <c r="O482" s="7"/>
      <c r="P482" s="7"/>
      <c r="Q482" s="7"/>
      <c r="R482" s="7"/>
      <c r="S482" s="7"/>
      <c r="T482" s="7"/>
      <c r="U482" s="7"/>
      <c r="V482" s="7"/>
      <c r="W482" s="7"/>
    </row>
    <row r="483" spans="1:23" ht="15.75" customHeight="1" x14ac:dyDescent="0.2">
      <c r="A483" s="7"/>
      <c r="B483" s="7"/>
      <c r="C483" s="7"/>
      <c r="D483" s="7"/>
      <c r="E483" s="7"/>
      <c r="F483" s="7"/>
      <c r="G483" s="7"/>
      <c r="H483" s="7"/>
      <c r="I483" s="7"/>
      <c r="J483" s="7"/>
      <c r="K483" s="7"/>
      <c r="L483" s="7"/>
      <c r="M483" s="7"/>
      <c r="N483" s="7"/>
      <c r="O483" s="7"/>
      <c r="P483" s="7"/>
      <c r="Q483" s="7"/>
      <c r="R483" s="7"/>
      <c r="S483" s="7"/>
      <c r="T483" s="7"/>
      <c r="U483" s="7"/>
      <c r="V483" s="7"/>
      <c r="W483" s="7"/>
    </row>
    <row r="484" spans="1:23" ht="15.75" customHeight="1" x14ac:dyDescent="0.2">
      <c r="A484" s="7"/>
      <c r="B484" s="7"/>
      <c r="C484" s="7"/>
      <c r="D484" s="7"/>
      <c r="E484" s="7"/>
      <c r="F484" s="7"/>
      <c r="G484" s="7"/>
      <c r="H484" s="7"/>
      <c r="I484" s="7"/>
      <c r="J484" s="7"/>
      <c r="K484" s="7"/>
      <c r="L484" s="7"/>
      <c r="M484" s="7"/>
      <c r="N484" s="7"/>
      <c r="O484" s="7"/>
      <c r="P484" s="7"/>
      <c r="Q484" s="7"/>
      <c r="R484" s="7"/>
      <c r="S484" s="7"/>
      <c r="T484" s="7"/>
      <c r="U484" s="7"/>
      <c r="V484" s="7"/>
      <c r="W484" s="7"/>
    </row>
    <row r="485" spans="1:23" ht="15.75" customHeight="1" x14ac:dyDescent="0.2">
      <c r="A485" s="7"/>
      <c r="B485" s="7"/>
      <c r="C485" s="7"/>
      <c r="D485" s="7"/>
      <c r="E485" s="7"/>
      <c r="F485" s="7"/>
      <c r="G485" s="7"/>
      <c r="H485" s="7"/>
      <c r="I485" s="7"/>
      <c r="J485" s="7"/>
      <c r="K485" s="7"/>
      <c r="L485" s="7"/>
      <c r="M485" s="7"/>
      <c r="N485" s="7"/>
      <c r="O485" s="7"/>
      <c r="P485" s="7"/>
      <c r="Q485" s="7"/>
      <c r="R485" s="7"/>
      <c r="S485" s="7"/>
      <c r="T485" s="7"/>
      <c r="U485" s="7"/>
      <c r="V485" s="7"/>
      <c r="W485" s="7"/>
    </row>
    <row r="486" spans="1:23" ht="15.75" customHeight="1" x14ac:dyDescent="0.2">
      <c r="A486" s="7"/>
      <c r="B486" s="7"/>
      <c r="C486" s="7"/>
      <c r="D486" s="7"/>
      <c r="E486" s="7"/>
      <c r="F486" s="7"/>
      <c r="G486" s="7"/>
      <c r="H486" s="7"/>
      <c r="I486" s="7"/>
      <c r="J486" s="7"/>
      <c r="K486" s="7"/>
      <c r="L486" s="7"/>
      <c r="M486" s="7"/>
      <c r="N486" s="7"/>
      <c r="O486" s="7"/>
      <c r="P486" s="7"/>
      <c r="Q486" s="7"/>
      <c r="R486" s="7"/>
      <c r="S486" s="7"/>
      <c r="T486" s="7"/>
      <c r="U486" s="7"/>
      <c r="V486" s="7"/>
      <c r="W486" s="7"/>
    </row>
    <row r="487" spans="1:23" ht="15.75" customHeight="1" x14ac:dyDescent="0.2">
      <c r="A487" s="7"/>
      <c r="B487" s="7"/>
      <c r="C487" s="7"/>
      <c r="D487" s="7"/>
      <c r="E487" s="7"/>
      <c r="F487" s="7"/>
      <c r="G487" s="7"/>
      <c r="H487" s="7"/>
      <c r="I487" s="7"/>
      <c r="J487" s="7"/>
      <c r="K487" s="7"/>
      <c r="L487" s="7"/>
      <c r="M487" s="7"/>
      <c r="N487" s="7"/>
      <c r="O487" s="7"/>
      <c r="P487" s="7"/>
      <c r="Q487" s="7"/>
      <c r="R487" s="7"/>
      <c r="S487" s="7"/>
      <c r="T487" s="7"/>
      <c r="U487" s="7"/>
      <c r="V487" s="7"/>
      <c r="W487" s="7"/>
    </row>
    <row r="488" spans="1:23" ht="15.75" customHeight="1" x14ac:dyDescent="0.2">
      <c r="A488" s="7"/>
      <c r="B488" s="7"/>
      <c r="C488" s="7"/>
      <c r="D488" s="7"/>
      <c r="E488" s="7"/>
      <c r="F488" s="7"/>
      <c r="G488" s="7"/>
      <c r="H488" s="7"/>
      <c r="I488" s="7"/>
      <c r="J488" s="7"/>
      <c r="K488" s="7"/>
      <c r="L488" s="7"/>
      <c r="M488" s="7"/>
      <c r="N488" s="7"/>
      <c r="O488" s="7"/>
      <c r="P488" s="7"/>
      <c r="Q488" s="7"/>
      <c r="R488" s="7"/>
      <c r="S488" s="7"/>
      <c r="T488" s="7"/>
      <c r="U488" s="7"/>
      <c r="V488" s="7"/>
      <c r="W488" s="7"/>
    </row>
    <row r="489" spans="1:23" ht="15.75" customHeight="1" x14ac:dyDescent="0.2">
      <c r="A489" s="7"/>
      <c r="B489" s="7"/>
      <c r="C489" s="7"/>
      <c r="D489" s="7"/>
      <c r="E489" s="7"/>
      <c r="F489" s="7"/>
      <c r="G489" s="7"/>
      <c r="H489" s="7"/>
      <c r="I489" s="7"/>
      <c r="J489" s="7"/>
      <c r="K489" s="7"/>
      <c r="L489" s="7"/>
      <c r="M489" s="7"/>
      <c r="N489" s="7"/>
      <c r="O489" s="7"/>
      <c r="P489" s="7"/>
      <c r="Q489" s="7"/>
      <c r="R489" s="7"/>
      <c r="S489" s="7"/>
      <c r="T489" s="7"/>
      <c r="U489" s="7"/>
      <c r="V489" s="7"/>
      <c r="W489" s="7"/>
    </row>
    <row r="490" spans="1:23" ht="15.75" customHeight="1" x14ac:dyDescent="0.2">
      <c r="A490" s="7"/>
      <c r="B490" s="7"/>
      <c r="C490" s="7"/>
      <c r="D490" s="7"/>
      <c r="E490" s="7"/>
      <c r="F490" s="7"/>
      <c r="G490" s="7"/>
      <c r="H490" s="7"/>
      <c r="I490" s="7"/>
      <c r="J490" s="7"/>
      <c r="K490" s="7"/>
      <c r="L490" s="7"/>
      <c r="M490" s="7"/>
      <c r="N490" s="7"/>
      <c r="O490" s="7"/>
      <c r="P490" s="7"/>
      <c r="Q490" s="7"/>
      <c r="R490" s="7"/>
      <c r="S490" s="7"/>
      <c r="T490" s="7"/>
      <c r="U490" s="7"/>
      <c r="V490" s="7"/>
      <c r="W490" s="7"/>
    </row>
    <row r="491" spans="1:23" ht="15.75" customHeight="1" x14ac:dyDescent="0.2">
      <c r="A491" s="7"/>
      <c r="B491" s="7"/>
      <c r="C491" s="7"/>
      <c r="D491" s="7"/>
      <c r="E491" s="7"/>
      <c r="F491" s="7"/>
      <c r="G491" s="7"/>
      <c r="H491" s="7"/>
      <c r="I491" s="7"/>
      <c r="J491" s="7"/>
      <c r="K491" s="7"/>
      <c r="L491" s="7"/>
      <c r="M491" s="7"/>
      <c r="N491" s="7"/>
      <c r="O491" s="7"/>
      <c r="P491" s="7"/>
      <c r="Q491" s="7"/>
      <c r="R491" s="7"/>
      <c r="S491" s="7"/>
      <c r="T491" s="7"/>
      <c r="U491" s="7"/>
      <c r="V491" s="7"/>
      <c r="W491" s="7"/>
    </row>
    <row r="492" spans="1:23" ht="15.75" customHeight="1" x14ac:dyDescent="0.2">
      <c r="A492" s="7"/>
      <c r="B492" s="7"/>
      <c r="C492" s="7"/>
      <c r="D492" s="7"/>
      <c r="E492" s="7"/>
      <c r="F492" s="7"/>
      <c r="G492" s="7"/>
      <c r="H492" s="7"/>
      <c r="I492" s="7"/>
      <c r="J492" s="7"/>
      <c r="K492" s="7"/>
      <c r="L492" s="7"/>
      <c r="M492" s="7"/>
      <c r="N492" s="7"/>
      <c r="O492" s="7"/>
      <c r="P492" s="7"/>
      <c r="Q492" s="7"/>
      <c r="R492" s="7"/>
      <c r="S492" s="7"/>
      <c r="T492" s="7"/>
      <c r="U492" s="7"/>
      <c r="V492" s="7"/>
      <c r="W492" s="7"/>
    </row>
    <row r="493" spans="1:23" ht="15.75" customHeight="1" x14ac:dyDescent="0.2">
      <c r="A493" s="7"/>
      <c r="B493" s="7"/>
      <c r="C493" s="7"/>
      <c r="D493" s="7"/>
      <c r="E493" s="7"/>
      <c r="F493" s="7"/>
      <c r="G493" s="7"/>
      <c r="H493" s="7"/>
      <c r="I493" s="7"/>
      <c r="J493" s="7"/>
      <c r="K493" s="7"/>
      <c r="L493" s="7"/>
      <c r="M493" s="7"/>
      <c r="N493" s="7"/>
      <c r="O493" s="7"/>
      <c r="P493" s="7"/>
      <c r="Q493" s="7"/>
      <c r="R493" s="7"/>
      <c r="S493" s="7"/>
      <c r="T493" s="7"/>
      <c r="U493" s="7"/>
      <c r="V493" s="7"/>
      <c r="W493" s="7"/>
    </row>
    <row r="494" spans="1:23" ht="15.75" customHeight="1" x14ac:dyDescent="0.2">
      <c r="A494" s="7"/>
      <c r="B494" s="7"/>
      <c r="C494" s="7"/>
      <c r="D494" s="7"/>
      <c r="E494" s="7"/>
      <c r="F494" s="7"/>
      <c r="G494" s="7"/>
      <c r="H494" s="7"/>
      <c r="I494" s="7"/>
      <c r="J494" s="7"/>
      <c r="K494" s="7"/>
      <c r="L494" s="7"/>
      <c r="M494" s="7"/>
      <c r="N494" s="7"/>
      <c r="O494" s="7"/>
      <c r="P494" s="7"/>
      <c r="Q494" s="7"/>
      <c r="R494" s="7"/>
      <c r="S494" s="7"/>
      <c r="T494" s="7"/>
      <c r="U494" s="7"/>
      <c r="V494" s="7"/>
      <c r="W494" s="7"/>
    </row>
    <row r="495" spans="1:23" ht="15.75" customHeight="1" x14ac:dyDescent="0.2">
      <c r="A495" s="7"/>
      <c r="B495" s="7"/>
      <c r="C495" s="7"/>
      <c r="D495" s="7"/>
      <c r="E495" s="7"/>
      <c r="F495" s="7"/>
      <c r="G495" s="7"/>
      <c r="H495" s="7"/>
      <c r="I495" s="7"/>
      <c r="J495" s="7"/>
      <c r="K495" s="7"/>
      <c r="L495" s="7"/>
      <c r="M495" s="7"/>
      <c r="N495" s="7"/>
      <c r="O495" s="7"/>
      <c r="P495" s="7"/>
      <c r="Q495" s="7"/>
      <c r="R495" s="7"/>
      <c r="S495" s="7"/>
      <c r="T495" s="7"/>
      <c r="U495" s="7"/>
      <c r="V495" s="7"/>
      <c r="W495" s="7"/>
    </row>
    <row r="496" spans="1:23" ht="15.75" customHeight="1" x14ac:dyDescent="0.2">
      <c r="A496" s="7"/>
      <c r="B496" s="7"/>
      <c r="C496" s="7"/>
      <c r="D496" s="7"/>
      <c r="E496" s="7"/>
      <c r="F496" s="7"/>
      <c r="G496" s="7"/>
      <c r="H496" s="7"/>
      <c r="I496" s="7"/>
      <c r="J496" s="7"/>
      <c r="K496" s="7"/>
      <c r="L496" s="7"/>
      <c r="M496" s="7"/>
      <c r="N496" s="7"/>
      <c r="O496" s="7"/>
      <c r="P496" s="7"/>
      <c r="Q496" s="7"/>
      <c r="R496" s="7"/>
      <c r="S496" s="7"/>
      <c r="T496" s="7"/>
      <c r="U496" s="7"/>
      <c r="V496" s="7"/>
      <c r="W496" s="7"/>
    </row>
    <row r="497" spans="1:23" ht="15.75" customHeight="1" x14ac:dyDescent="0.2">
      <c r="A497" s="7"/>
      <c r="B497" s="7"/>
      <c r="C497" s="7"/>
      <c r="D497" s="7"/>
      <c r="E497" s="7"/>
      <c r="F497" s="7"/>
      <c r="G497" s="7"/>
      <c r="H497" s="7"/>
      <c r="I497" s="7"/>
      <c r="J497" s="7"/>
      <c r="K497" s="7"/>
      <c r="L497" s="7"/>
      <c r="M497" s="7"/>
      <c r="N497" s="7"/>
      <c r="O497" s="7"/>
      <c r="P497" s="7"/>
      <c r="Q497" s="7"/>
      <c r="R497" s="7"/>
      <c r="S497" s="7"/>
      <c r="T497" s="7"/>
      <c r="U497" s="7"/>
      <c r="V497" s="7"/>
      <c r="W497" s="7"/>
    </row>
    <row r="498" spans="1:23" ht="15.75" customHeight="1" x14ac:dyDescent="0.2">
      <c r="A498" s="7"/>
      <c r="B498" s="7"/>
      <c r="C498" s="7"/>
      <c r="D498" s="7"/>
      <c r="E498" s="7"/>
      <c r="F498" s="7"/>
      <c r="G498" s="7"/>
      <c r="H498" s="7"/>
      <c r="I498" s="7"/>
      <c r="J498" s="7"/>
      <c r="K498" s="7"/>
      <c r="L498" s="7"/>
      <c r="M498" s="7"/>
      <c r="N498" s="7"/>
      <c r="O498" s="7"/>
      <c r="P498" s="7"/>
      <c r="Q498" s="7"/>
      <c r="R498" s="7"/>
      <c r="S498" s="7"/>
      <c r="T498" s="7"/>
      <c r="U498" s="7"/>
      <c r="V498" s="7"/>
      <c r="W498" s="7"/>
    </row>
    <row r="499" spans="1:23" ht="15.75" customHeight="1" x14ac:dyDescent="0.2">
      <c r="A499" s="7"/>
      <c r="B499" s="7"/>
      <c r="C499" s="7"/>
      <c r="D499" s="7"/>
      <c r="E499" s="7"/>
      <c r="F499" s="7"/>
      <c r="G499" s="7"/>
      <c r="H499" s="7"/>
      <c r="I499" s="7"/>
      <c r="J499" s="7"/>
      <c r="K499" s="7"/>
      <c r="L499" s="7"/>
      <c r="M499" s="7"/>
      <c r="N499" s="7"/>
      <c r="O499" s="7"/>
      <c r="P499" s="7"/>
      <c r="Q499" s="7"/>
      <c r="R499" s="7"/>
      <c r="S499" s="7"/>
      <c r="T499" s="7"/>
      <c r="U499" s="7"/>
      <c r="V499" s="7"/>
      <c r="W499" s="7"/>
    </row>
    <row r="500" spans="1:23" ht="15.75" customHeight="1" x14ac:dyDescent="0.2">
      <c r="A500" s="7"/>
      <c r="B500" s="7"/>
      <c r="C500" s="7"/>
      <c r="D500" s="7"/>
      <c r="E500" s="7"/>
      <c r="F500" s="7"/>
      <c r="G500" s="7"/>
      <c r="H500" s="7"/>
      <c r="I500" s="7"/>
      <c r="J500" s="7"/>
      <c r="K500" s="7"/>
      <c r="L500" s="7"/>
      <c r="M500" s="7"/>
      <c r="N500" s="7"/>
      <c r="O500" s="7"/>
      <c r="P500" s="7"/>
      <c r="Q500" s="7"/>
      <c r="R500" s="7"/>
      <c r="S500" s="7"/>
      <c r="T500" s="7"/>
      <c r="U500" s="7"/>
      <c r="V500" s="7"/>
      <c r="W500" s="7"/>
    </row>
    <row r="501" spans="1:23" ht="15.75" customHeight="1" x14ac:dyDescent="0.2">
      <c r="A501" s="7"/>
      <c r="B501" s="7"/>
      <c r="C501" s="7"/>
      <c r="D501" s="7"/>
      <c r="E501" s="7"/>
      <c r="F501" s="7"/>
      <c r="G501" s="7"/>
      <c r="H501" s="7"/>
      <c r="I501" s="7"/>
      <c r="J501" s="7"/>
      <c r="K501" s="7"/>
      <c r="L501" s="7"/>
      <c r="M501" s="7"/>
      <c r="N501" s="7"/>
      <c r="O501" s="7"/>
      <c r="P501" s="7"/>
      <c r="Q501" s="7"/>
      <c r="R501" s="7"/>
      <c r="S501" s="7"/>
      <c r="T501" s="7"/>
      <c r="U501" s="7"/>
      <c r="V501" s="7"/>
      <c r="W501" s="7"/>
    </row>
    <row r="502" spans="1:23" ht="15.75" customHeight="1" x14ac:dyDescent="0.2">
      <c r="A502" s="7"/>
      <c r="B502" s="7"/>
      <c r="C502" s="7"/>
      <c r="D502" s="7"/>
      <c r="E502" s="7"/>
      <c r="F502" s="7"/>
      <c r="G502" s="7"/>
      <c r="H502" s="7"/>
      <c r="I502" s="7"/>
      <c r="J502" s="7"/>
      <c r="K502" s="7"/>
      <c r="L502" s="7"/>
      <c r="M502" s="7"/>
      <c r="N502" s="7"/>
      <c r="O502" s="7"/>
      <c r="P502" s="7"/>
      <c r="Q502" s="7"/>
      <c r="R502" s="7"/>
      <c r="S502" s="7"/>
      <c r="T502" s="7"/>
      <c r="U502" s="7"/>
      <c r="V502" s="7"/>
      <c r="W502" s="7"/>
    </row>
    <row r="503" spans="1:23" ht="15.75" customHeight="1" x14ac:dyDescent="0.2">
      <c r="A503" s="7"/>
      <c r="B503" s="7"/>
      <c r="C503" s="7"/>
      <c r="D503" s="7"/>
      <c r="E503" s="7"/>
      <c r="F503" s="7"/>
      <c r="G503" s="7"/>
      <c r="H503" s="7"/>
      <c r="I503" s="7"/>
      <c r="J503" s="7"/>
      <c r="K503" s="7"/>
      <c r="L503" s="7"/>
      <c r="M503" s="7"/>
      <c r="N503" s="7"/>
      <c r="O503" s="7"/>
      <c r="P503" s="7"/>
      <c r="Q503" s="7"/>
      <c r="R503" s="7"/>
      <c r="S503" s="7"/>
      <c r="T503" s="7"/>
      <c r="U503" s="7"/>
      <c r="V503" s="7"/>
      <c r="W503" s="7"/>
    </row>
    <row r="504" spans="1:23" ht="15.75" customHeight="1" x14ac:dyDescent="0.2">
      <c r="A504" s="7"/>
      <c r="B504" s="7"/>
      <c r="C504" s="7"/>
      <c r="D504" s="7"/>
      <c r="E504" s="7"/>
      <c r="F504" s="7"/>
      <c r="G504" s="7"/>
      <c r="H504" s="7"/>
      <c r="I504" s="7"/>
      <c r="J504" s="7"/>
      <c r="K504" s="7"/>
      <c r="L504" s="7"/>
      <c r="M504" s="7"/>
      <c r="N504" s="7"/>
      <c r="O504" s="7"/>
      <c r="P504" s="7"/>
      <c r="Q504" s="7"/>
      <c r="R504" s="7"/>
      <c r="S504" s="7"/>
      <c r="T504" s="7"/>
      <c r="U504" s="7"/>
      <c r="V504" s="7"/>
      <c r="W504" s="7"/>
    </row>
    <row r="505" spans="1:23" ht="15.75" customHeight="1" x14ac:dyDescent="0.2">
      <c r="A505" s="7"/>
      <c r="B505" s="7"/>
      <c r="C505" s="7"/>
      <c r="D505" s="7"/>
      <c r="E505" s="7"/>
      <c r="F505" s="7"/>
      <c r="G505" s="7"/>
      <c r="H505" s="7"/>
      <c r="I505" s="7"/>
      <c r="J505" s="7"/>
      <c r="K505" s="7"/>
      <c r="L505" s="7"/>
      <c r="M505" s="7"/>
      <c r="N505" s="7"/>
      <c r="O505" s="7"/>
      <c r="P505" s="7"/>
      <c r="Q505" s="7"/>
      <c r="R505" s="7"/>
      <c r="S505" s="7"/>
      <c r="T505" s="7"/>
      <c r="U505" s="7"/>
      <c r="V505" s="7"/>
      <c r="W505" s="7"/>
    </row>
    <row r="506" spans="1:23" ht="15.75" customHeight="1" x14ac:dyDescent="0.2">
      <c r="A506" s="7"/>
      <c r="B506" s="7"/>
      <c r="C506" s="7"/>
      <c r="D506" s="7"/>
      <c r="E506" s="7"/>
      <c r="F506" s="7"/>
      <c r="G506" s="7"/>
      <c r="H506" s="7"/>
      <c r="I506" s="7"/>
      <c r="J506" s="7"/>
      <c r="K506" s="7"/>
      <c r="L506" s="7"/>
      <c r="M506" s="7"/>
      <c r="N506" s="7"/>
      <c r="O506" s="7"/>
      <c r="P506" s="7"/>
      <c r="Q506" s="7"/>
      <c r="R506" s="7"/>
      <c r="S506" s="7"/>
      <c r="T506" s="7"/>
      <c r="U506" s="7"/>
      <c r="V506" s="7"/>
      <c r="W506" s="7"/>
    </row>
    <row r="507" spans="1:23" ht="15.75" customHeight="1" x14ac:dyDescent="0.2">
      <c r="A507" s="7"/>
      <c r="B507" s="7"/>
      <c r="C507" s="7"/>
      <c r="D507" s="7"/>
      <c r="E507" s="7"/>
      <c r="F507" s="7"/>
      <c r="G507" s="7"/>
      <c r="H507" s="7"/>
      <c r="I507" s="7"/>
      <c r="J507" s="7"/>
      <c r="K507" s="7"/>
      <c r="L507" s="7"/>
      <c r="M507" s="7"/>
      <c r="N507" s="7"/>
      <c r="O507" s="7"/>
      <c r="P507" s="7"/>
      <c r="Q507" s="7"/>
      <c r="R507" s="7"/>
      <c r="S507" s="7"/>
      <c r="T507" s="7"/>
      <c r="U507" s="7"/>
      <c r="V507" s="7"/>
      <c r="W507" s="7"/>
    </row>
    <row r="508" spans="1:23" ht="15.75" customHeight="1" x14ac:dyDescent="0.2">
      <c r="A508" s="7"/>
      <c r="B508" s="7"/>
      <c r="C508" s="7"/>
      <c r="D508" s="7"/>
      <c r="E508" s="7"/>
      <c r="F508" s="7"/>
      <c r="G508" s="7"/>
      <c r="H508" s="7"/>
      <c r="I508" s="7"/>
      <c r="J508" s="7"/>
      <c r="K508" s="7"/>
      <c r="L508" s="7"/>
      <c r="M508" s="7"/>
      <c r="N508" s="7"/>
      <c r="O508" s="7"/>
      <c r="P508" s="7"/>
      <c r="Q508" s="7"/>
      <c r="R508" s="7"/>
      <c r="S508" s="7"/>
      <c r="T508" s="7"/>
      <c r="U508" s="7"/>
      <c r="V508" s="7"/>
      <c r="W508" s="7"/>
    </row>
    <row r="509" spans="1:23" ht="15.75" customHeight="1" x14ac:dyDescent="0.2">
      <c r="A509" s="7"/>
      <c r="B509" s="7"/>
      <c r="C509" s="7"/>
      <c r="D509" s="7"/>
      <c r="E509" s="7"/>
      <c r="F509" s="7"/>
      <c r="G509" s="7"/>
      <c r="H509" s="7"/>
      <c r="I509" s="7"/>
      <c r="J509" s="7"/>
      <c r="K509" s="7"/>
      <c r="L509" s="7"/>
      <c r="M509" s="7"/>
      <c r="N509" s="7"/>
      <c r="O509" s="7"/>
      <c r="P509" s="7"/>
      <c r="Q509" s="7"/>
      <c r="R509" s="7"/>
      <c r="S509" s="7"/>
      <c r="T509" s="7"/>
      <c r="U509" s="7"/>
      <c r="V509" s="7"/>
      <c r="W509" s="7"/>
    </row>
    <row r="510" spans="1:23" ht="15.75" customHeight="1" x14ac:dyDescent="0.2">
      <c r="A510" s="7"/>
      <c r="B510" s="7"/>
      <c r="C510" s="7"/>
      <c r="D510" s="7"/>
      <c r="E510" s="7"/>
      <c r="F510" s="7"/>
      <c r="G510" s="7"/>
      <c r="H510" s="7"/>
      <c r="I510" s="7"/>
      <c r="J510" s="7"/>
      <c r="K510" s="7"/>
      <c r="L510" s="7"/>
      <c r="M510" s="7"/>
      <c r="N510" s="7"/>
      <c r="O510" s="7"/>
      <c r="P510" s="7"/>
      <c r="Q510" s="7"/>
      <c r="R510" s="7"/>
      <c r="S510" s="7"/>
      <c r="T510" s="7"/>
      <c r="U510" s="7"/>
      <c r="V510" s="7"/>
      <c r="W510" s="7"/>
    </row>
    <row r="511" spans="1:23" ht="15.75" customHeight="1" x14ac:dyDescent="0.2">
      <c r="A511" s="7"/>
      <c r="B511" s="7"/>
      <c r="C511" s="7"/>
      <c r="D511" s="7"/>
      <c r="E511" s="7"/>
      <c r="F511" s="7"/>
      <c r="G511" s="7"/>
      <c r="H511" s="7"/>
      <c r="I511" s="7"/>
      <c r="J511" s="7"/>
      <c r="K511" s="7"/>
      <c r="L511" s="7"/>
      <c r="M511" s="7"/>
      <c r="N511" s="7"/>
      <c r="O511" s="7"/>
      <c r="P511" s="7"/>
      <c r="Q511" s="7"/>
      <c r="R511" s="7"/>
      <c r="S511" s="7"/>
      <c r="T511" s="7"/>
      <c r="U511" s="7"/>
      <c r="V511" s="7"/>
      <c r="W511" s="7"/>
    </row>
    <row r="512" spans="1:23" ht="15.75" customHeight="1" x14ac:dyDescent="0.2">
      <c r="A512" s="7"/>
      <c r="B512" s="7"/>
      <c r="C512" s="7"/>
      <c r="D512" s="7"/>
      <c r="E512" s="7"/>
      <c r="F512" s="7"/>
      <c r="G512" s="7"/>
      <c r="H512" s="7"/>
      <c r="I512" s="7"/>
      <c r="J512" s="7"/>
      <c r="K512" s="7"/>
      <c r="L512" s="7"/>
      <c r="M512" s="7"/>
      <c r="N512" s="7"/>
      <c r="O512" s="7"/>
      <c r="P512" s="7"/>
      <c r="Q512" s="7"/>
      <c r="R512" s="7"/>
      <c r="S512" s="7"/>
      <c r="T512" s="7"/>
      <c r="U512" s="7"/>
      <c r="V512" s="7"/>
      <c r="W512" s="7"/>
    </row>
    <row r="513" spans="1:23" ht="15.75" customHeight="1" x14ac:dyDescent="0.2">
      <c r="A513" s="7"/>
      <c r="B513" s="7"/>
      <c r="C513" s="7"/>
      <c r="D513" s="7"/>
      <c r="E513" s="7"/>
      <c r="F513" s="7"/>
      <c r="G513" s="7"/>
      <c r="H513" s="7"/>
      <c r="I513" s="7"/>
      <c r="J513" s="7"/>
      <c r="K513" s="7"/>
      <c r="L513" s="7"/>
      <c r="M513" s="7"/>
      <c r="N513" s="7"/>
      <c r="O513" s="7"/>
      <c r="P513" s="7"/>
      <c r="Q513" s="7"/>
      <c r="R513" s="7"/>
      <c r="S513" s="7"/>
      <c r="T513" s="7"/>
      <c r="U513" s="7"/>
      <c r="V513" s="7"/>
      <c r="W513" s="7"/>
    </row>
    <row r="514" spans="1:23" ht="15.75" customHeight="1" x14ac:dyDescent="0.2">
      <c r="A514" s="7"/>
      <c r="B514" s="7"/>
      <c r="C514" s="7"/>
      <c r="D514" s="7"/>
      <c r="E514" s="7"/>
      <c r="F514" s="7"/>
      <c r="G514" s="7"/>
      <c r="H514" s="7"/>
      <c r="I514" s="7"/>
      <c r="J514" s="7"/>
      <c r="K514" s="7"/>
      <c r="L514" s="7"/>
      <c r="M514" s="7"/>
      <c r="N514" s="7"/>
      <c r="O514" s="7"/>
      <c r="P514" s="7"/>
      <c r="Q514" s="7"/>
      <c r="R514" s="7"/>
      <c r="S514" s="7"/>
      <c r="T514" s="7"/>
      <c r="U514" s="7"/>
      <c r="V514" s="7"/>
      <c r="W514" s="7"/>
    </row>
    <row r="515" spans="1:23" ht="15.75" customHeight="1" x14ac:dyDescent="0.2">
      <c r="A515" s="7"/>
      <c r="B515" s="7"/>
      <c r="C515" s="7"/>
      <c r="D515" s="7"/>
      <c r="E515" s="7"/>
      <c r="F515" s="7"/>
      <c r="G515" s="7"/>
      <c r="H515" s="7"/>
      <c r="I515" s="7"/>
      <c r="J515" s="7"/>
      <c r="K515" s="7"/>
      <c r="L515" s="7"/>
      <c r="M515" s="7"/>
      <c r="N515" s="7"/>
      <c r="O515" s="7"/>
      <c r="P515" s="7"/>
      <c r="Q515" s="7"/>
      <c r="R515" s="7"/>
      <c r="S515" s="7"/>
      <c r="T515" s="7"/>
      <c r="U515" s="7"/>
      <c r="V515" s="7"/>
      <c r="W515" s="7"/>
    </row>
    <row r="516" spans="1:23" ht="15.75" customHeight="1" x14ac:dyDescent="0.2">
      <c r="A516" s="7"/>
      <c r="B516" s="7"/>
      <c r="C516" s="7"/>
      <c r="D516" s="7"/>
      <c r="E516" s="7"/>
      <c r="F516" s="7"/>
      <c r="G516" s="7"/>
      <c r="H516" s="7"/>
      <c r="I516" s="7"/>
      <c r="J516" s="7"/>
      <c r="K516" s="7"/>
      <c r="L516" s="7"/>
      <c r="M516" s="7"/>
      <c r="N516" s="7"/>
      <c r="O516" s="7"/>
      <c r="P516" s="7"/>
      <c r="Q516" s="7"/>
      <c r="R516" s="7"/>
      <c r="S516" s="7"/>
      <c r="T516" s="7"/>
      <c r="U516" s="7"/>
      <c r="V516" s="7"/>
      <c r="W516" s="7"/>
    </row>
    <row r="517" spans="1:23" ht="15.75" customHeight="1" x14ac:dyDescent="0.2">
      <c r="A517" s="7"/>
      <c r="B517" s="7"/>
      <c r="C517" s="7"/>
      <c r="D517" s="7"/>
      <c r="E517" s="7"/>
      <c r="F517" s="7"/>
      <c r="G517" s="7"/>
      <c r="H517" s="7"/>
      <c r="I517" s="7"/>
      <c r="J517" s="7"/>
      <c r="K517" s="7"/>
      <c r="L517" s="7"/>
      <c r="M517" s="7"/>
      <c r="N517" s="7"/>
      <c r="O517" s="7"/>
      <c r="P517" s="7"/>
      <c r="Q517" s="7"/>
      <c r="R517" s="7"/>
      <c r="S517" s="7"/>
      <c r="T517" s="7"/>
      <c r="U517" s="7"/>
      <c r="V517" s="7"/>
      <c r="W517" s="7"/>
    </row>
    <row r="518" spans="1:23" ht="15.75" customHeight="1" x14ac:dyDescent="0.2">
      <c r="A518" s="7"/>
      <c r="B518" s="7"/>
      <c r="C518" s="7"/>
      <c r="D518" s="7"/>
      <c r="E518" s="7"/>
      <c r="F518" s="7"/>
      <c r="G518" s="7"/>
      <c r="H518" s="7"/>
      <c r="I518" s="7"/>
      <c r="J518" s="7"/>
      <c r="K518" s="7"/>
      <c r="L518" s="7"/>
      <c r="M518" s="7"/>
      <c r="N518" s="7"/>
      <c r="O518" s="7"/>
      <c r="P518" s="7"/>
      <c r="Q518" s="7"/>
      <c r="R518" s="7"/>
      <c r="S518" s="7"/>
      <c r="T518" s="7"/>
      <c r="U518" s="7"/>
      <c r="V518" s="7"/>
      <c r="W518" s="7"/>
    </row>
    <row r="519" spans="1:23" ht="15.75" customHeight="1" x14ac:dyDescent="0.2">
      <c r="A519" s="7"/>
      <c r="B519" s="7"/>
      <c r="C519" s="7"/>
      <c r="D519" s="7"/>
      <c r="E519" s="7"/>
      <c r="F519" s="7"/>
      <c r="G519" s="7"/>
      <c r="H519" s="7"/>
      <c r="I519" s="7"/>
      <c r="J519" s="7"/>
      <c r="K519" s="7"/>
      <c r="L519" s="7"/>
      <c r="M519" s="7"/>
      <c r="N519" s="7"/>
      <c r="O519" s="7"/>
      <c r="P519" s="7"/>
      <c r="Q519" s="7"/>
      <c r="R519" s="7"/>
      <c r="S519" s="7"/>
      <c r="T519" s="7"/>
      <c r="U519" s="7"/>
      <c r="V519" s="7"/>
      <c r="W519" s="7"/>
    </row>
    <row r="520" spans="1:23" ht="15.75" customHeight="1" x14ac:dyDescent="0.2">
      <c r="A520" s="7"/>
      <c r="B520" s="7"/>
      <c r="C520" s="7"/>
      <c r="D520" s="7"/>
      <c r="E520" s="7"/>
      <c r="F520" s="7"/>
      <c r="G520" s="7"/>
      <c r="H520" s="7"/>
      <c r="I520" s="7"/>
      <c r="J520" s="7"/>
      <c r="K520" s="7"/>
      <c r="L520" s="7"/>
      <c r="M520" s="7"/>
      <c r="N520" s="7"/>
      <c r="O520" s="7"/>
      <c r="P520" s="7"/>
      <c r="Q520" s="7"/>
      <c r="R520" s="7"/>
      <c r="S520" s="7"/>
      <c r="T520" s="7"/>
      <c r="U520" s="7"/>
      <c r="V520" s="7"/>
      <c r="W520" s="7"/>
    </row>
    <row r="521" spans="1:23" ht="15.75" customHeight="1" x14ac:dyDescent="0.2">
      <c r="A521" s="7"/>
      <c r="B521" s="7"/>
      <c r="C521" s="7"/>
      <c r="D521" s="7"/>
      <c r="E521" s="7"/>
      <c r="F521" s="7"/>
      <c r="G521" s="7"/>
      <c r="H521" s="7"/>
      <c r="I521" s="7"/>
      <c r="J521" s="7"/>
      <c r="K521" s="7"/>
      <c r="L521" s="7"/>
      <c r="M521" s="7"/>
      <c r="N521" s="7"/>
      <c r="O521" s="7"/>
      <c r="P521" s="7"/>
      <c r="Q521" s="7"/>
      <c r="R521" s="7"/>
      <c r="S521" s="7"/>
      <c r="T521" s="7"/>
      <c r="U521" s="7"/>
      <c r="V521" s="7"/>
      <c r="W521" s="7"/>
    </row>
    <row r="522" spans="1:23" ht="15.75" customHeight="1" x14ac:dyDescent="0.2">
      <c r="A522" s="7"/>
      <c r="B522" s="7"/>
      <c r="C522" s="7"/>
      <c r="D522" s="7"/>
      <c r="E522" s="7"/>
      <c r="F522" s="7"/>
      <c r="G522" s="7"/>
      <c r="H522" s="7"/>
      <c r="I522" s="7"/>
      <c r="J522" s="7"/>
      <c r="K522" s="7"/>
      <c r="L522" s="7"/>
      <c r="M522" s="7"/>
      <c r="N522" s="7"/>
      <c r="O522" s="7"/>
      <c r="P522" s="7"/>
      <c r="Q522" s="7"/>
      <c r="R522" s="7"/>
      <c r="S522" s="7"/>
      <c r="T522" s="7"/>
      <c r="U522" s="7"/>
      <c r="V522" s="7"/>
      <c r="W522" s="7"/>
    </row>
    <row r="523" spans="1:23" ht="15.75" customHeight="1" x14ac:dyDescent="0.2">
      <c r="A523" s="7"/>
      <c r="B523" s="7"/>
      <c r="C523" s="7"/>
      <c r="D523" s="7"/>
      <c r="E523" s="7"/>
      <c r="F523" s="7"/>
      <c r="G523" s="7"/>
      <c r="H523" s="7"/>
      <c r="I523" s="7"/>
      <c r="J523" s="7"/>
      <c r="K523" s="7"/>
      <c r="L523" s="7"/>
      <c r="M523" s="7"/>
      <c r="N523" s="7"/>
      <c r="O523" s="7"/>
      <c r="P523" s="7"/>
      <c r="Q523" s="7"/>
      <c r="R523" s="7"/>
      <c r="S523" s="7"/>
      <c r="T523" s="7"/>
      <c r="U523" s="7"/>
      <c r="V523" s="7"/>
      <c r="W523" s="7"/>
    </row>
    <row r="524" spans="1:23" ht="15.75" customHeight="1" x14ac:dyDescent="0.2">
      <c r="A524" s="7"/>
      <c r="B524" s="7"/>
      <c r="C524" s="7"/>
      <c r="D524" s="7"/>
      <c r="E524" s="7"/>
      <c r="F524" s="7"/>
      <c r="G524" s="7"/>
      <c r="H524" s="7"/>
      <c r="I524" s="7"/>
      <c r="J524" s="7"/>
      <c r="K524" s="7"/>
      <c r="L524" s="7"/>
      <c r="M524" s="7"/>
      <c r="N524" s="7"/>
      <c r="O524" s="7"/>
      <c r="P524" s="7"/>
      <c r="Q524" s="7"/>
      <c r="R524" s="7"/>
      <c r="S524" s="7"/>
      <c r="T524" s="7"/>
      <c r="U524" s="7"/>
      <c r="V524" s="7"/>
      <c r="W524" s="7"/>
    </row>
    <row r="525" spans="1:23" ht="15.75" customHeight="1" x14ac:dyDescent="0.2">
      <c r="A525" s="7"/>
      <c r="B525" s="7"/>
      <c r="C525" s="7"/>
      <c r="D525" s="7"/>
      <c r="E525" s="7"/>
      <c r="F525" s="7"/>
      <c r="G525" s="7"/>
      <c r="H525" s="7"/>
      <c r="I525" s="7"/>
      <c r="J525" s="7"/>
      <c r="K525" s="7"/>
      <c r="L525" s="7"/>
      <c r="M525" s="7"/>
      <c r="N525" s="7"/>
      <c r="O525" s="7"/>
      <c r="P525" s="7"/>
      <c r="Q525" s="7"/>
      <c r="R525" s="7"/>
      <c r="S525" s="7"/>
      <c r="T525" s="7"/>
      <c r="U525" s="7"/>
      <c r="V525" s="7"/>
      <c r="W525" s="7"/>
    </row>
    <row r="526" spans="1:23" ht="15.75" customHeight="1" x14ac:dyDescent="0.2">
      <c r="A526" s="7"/>
      <c r="B526" s="7"/>
      <c r="C526" s="7"/>
      <c r="D526" s="7"/>
      <c r="E526" s="7"/>
      <c r="F526" s="7"/>
      <c r="G526" s="7"/>
      <c r="H526" s="7"/>
      <c r="I526" s="7"/>
      <c r="J526" s="7"/>
      <c r="K526" s="7"/>
      <c r="L526" s="7"/>
      <c r="M526" s="7"/>
      <c r="N526" s="7"/>
      <c r="O526" s="7"/>
      <c r="P526" s="7"/>
      <c r="Q526" s="7"/>
      <c r="R526" s="7"/>
      <c r="S526" s="7"/>
      <c r="T526" s="7"/>
      <c r="U526" s="7"/>
      <c r="V526" s="7"/>
      <c r="W526" s="7"/>
    </row>
    <row r="527" spans="1:23" ht="15.75" customHeight="1" x14ac:dyDescent="0.2">
      <c r="A527" s="7"/>
      <c r="B527" s="7"/>
      <c r="C527" s="7"/>
      <c r="D527" s="7"/>
      <c r="E527" s="7"/>
      <c r="F527" s="7"/>
      <c r="G527" s="7"/>
      <c r="H527" s="7"/>
      <c r="I527" s="7"/>
      <c r="J527" s="7"/>
      <c r="K527" s="7"/>
      <c r="L527" s="7"/>
      <c r="M527" s="7"/>
      <c r="N527" s="7"/>
      <c r="O527" s="7"/>
      <c r="P527" s="7"/>
      <c r="Q527" s="7"/>
      <c r="R527" s="7"/>
      <c r="S527" s="7"/>
      <c r="T527" s="7"/>
      <c r="U527" s="7"/>
      <c r="V527" s="7"/>
      <c r="W527" s="7"/>
    </row>
    <row r="528" spans="1:23" ht="15.75" customHeight="1" x14ac:dyDescent="0.2">
      <c r="A528" s="7"/>
      <c r="B528" s="7"/>
      <c r="C528" s="7"/>
      <c r="D528" s="7"/>
      <c r="E528" s="7"/>
      <c r="F528" s="7"/>
      <c r="G528" s="7"/>
      <c r="H528" s="7"/>
      <c r="I528" s="7"/>
      <c r="J528" s="7"/>
      <c r="K528" s="7"/>
      <c r="L528" s="7"/>
      <c r="M528" s="7"/>
      <c r="N528" s="7"/>
      <c r="O528" s="7"/>
      <c r="P528" s="7"/>
      <c r="Q528" s="7"/>
      <c r="R528" s="7"/>
      <c r="S528" s="7"/>
      <c r="T528" s="7"/>
      <c r="U528" s="7"/>
      <c r="V528" s="7"/>
      <c r="W528" s="7"/>
    </row>
    <row r="529" spans="1:23" ht="15.75" customHeight="1" x14ac:dyDescent="0.2">
      <c r="A529" s="7"/>
      <c r="B529" s="7"/>
      <c r="C529" s="7"/>
      <c r="D529" s="7"/>
      <c r="E529" s="7"/>
      <c r="F529" s="7"/>
      <c r="G529" s="7"/>
      <c r="H529" s="7"/>
      <c r="I529" s="7"/>
      <c r="J529" s="7"/>
      <c r="K529" s="7"/>
      <c r="L529" s="7"/>
      <c r="M529" s="7"/>
      <c r="N529" s="7"/>
      <c r="O529" s="7"/>
      <c r="P529" s="7"/>
      <c r="Q529" s="7"/>
      <c r="R529" s="7"/>
      <c r="S529" s="7"/>
      <c r="T529" s="7"/>
      <c r="U529" s="7"/>
      <c r="V529" s="7"/>
      <c r="W529" s="7"/>
    </row>
    <row r="530" spans="1:23" ht="15.75" customHeight="1" x14ac:dyDescent="0.2">
      <c r="A530" s="7"/>
      <c r="B530" s="7"/>
      <c r="C530" s="7"/>
      <c r="D530" s="7"/>
      <c r="E530" s="7"/>
      <c r="F530" s="7"/>
      <c r="G530" s="7"/>
      <c r="H530" s="7"/>
      <c r="I530" s="7"/>
      <c r="J530" s="7"/>
      <c r="K530" s="7"/>
      <c r="L530" s="7"/>
      <c r="M530" s="7"/>
      <c r="N530" s="7"/>
      <c r="O530" s="7"/>
      <c r="P530" s="7"/>
      <c r="Q530" s="7"/>
      <c r="R530" s="7"/>
      <c r="S530" s="7"/>
      <c r="T530" s="7"/>
      <c r="U530" s="7"/>
      <c r="V530" s="7"/>
      <c r="W530" s="7"/>
    </row>
    <row r="531" spans="1:23" ht="15.75" customHeight="1" x14ac:dyDescent="0.2">
      <c r="A531" s="7"/>
      <c r="B531" s="7"/>
      <c r="C531" s="7"/>
      <c r="D531" s="7"/>
      <c r="E531" s="7"/>
      <c r="F531" s="7"/>
      <c r="G531" s="7"/>
      <c r="H531" s="7"/>
      <c r="I531" s="7"/>
      <c r="J531" s="7"/>
      <c r="K531" s="7"/>
      <c r="L531" s="7"/>
      <c r="M531" s="7"/>
      <c r="N531" s="7"/>
      <c r="O531" s="7"/>
      <c r="P531" s="7"/>
      <c r="Q531" s="7"/>
      <c r="R531" s="7"/>
      <c r="S531" s="7"/>
      <c r="T531" s="7"/>
      <c r="U531" s="7"/>
      <c r="V531" s="7"/>
      <c r="W531" s="7"/>
    </row>
    <row r="532" spans="1:23" ht="15.75" customHeight="1" x14ac:dyDescent="0.2">
      <c r="A532" s="7"/>
      <c r="B532" s="7"/>
      <c r="C532" s="7"/>
      <c r="D532" s="7"/>
      <c r="E532" s="7"/>
      <c r="F532" s="7"/>
      <c r="G532" s="7"/>
      <c r="H532" s="7"/>
      <c r="I532" s="7"/>
      <c r="J532" s="7"/>
      <c r="K532" s="7"/>
      <c r="L532" s="7"/>
      <c r="M532" s="7"/>
      <c r="N532" s="7"/>
      <c r="O532" s="7"/>
      <c r="P532" s="7"/>
      <c r="Q532" s="7"/>
      <c r="R532" s="7"/>
      <c r="S532" s="7"/>
      <c r="T532" s="7"/>
      <c r="U532" s="7"/>
      <c r="V532" s="7"/>
      <c r="W532" s="7"/>
    </row>
    <row r="533" spans="1:23" ht="15.75" customHeight="1" x14ac:dyDescent="0.2">
      <c r="A533" s="7"/>
      <c r="B533" s="7"/>
      <c r="C533" s="7"/>
      <c r="D533" s="7"/>
      <c r="E533" s="7"/>
      <c r="F533" s="7"/>
      <c r="G533" s="7"/>
      <c r="H533" s="7"/>
      <c r="I533" s="7"/>
      <c r="J533" s="7"/>
      <c r="K533" s="7"/>
      <c r="L533" s="7"/>
      <c r="M533" s="7"/>
      <c r="N533" s="7"/>
      <c r="O533" s="7"/>
      <c r="P533" s="7"/>
      <c r="Q533" s="7"/>
      <c r="R533" s="7"/>
      <c r="S533" s="7"/>
      <c r="T533" s="7"/>
      <c r="U533" s="7"/>
      <c r="V533" s="7"/>
      <c r="W533" s="7"/>
    </row>
    <row r="534" spans="1:23" ht="15.75" customHeight="1" x14ac:dyDescent="0.2">
      <c r="A534" s="7"/>
      <c r="B534" s="7"/>
      <c r="C534" s="7"/>
      <c r="D534" s="7"/>
      <c r="E534" s="7"/>
      <c r="F534" s="7"/>
      <c r="G534" s="7"/>
      <c r="H534" s="7"/>
      <c r="I534" s="7"/>
      <c r="J534" s="7"/>
      <c r="K534" s="7"/>
      <c r="L534" s="7"/>
      <c r="M534" s="7"/>
      <c r="N534" s="7"/>
      <c r="O534" s="7"/>
      <c r="P534" s="7"/>
      <c r="Q534" s="7"/>
      <c r="R534" s="7"/>
      <c r="S534" s="7"/>
      <c r="T534" s="7"/>
      <c r="U534" s="7"/>
      <c r="V534" s="7"/>
      <c r="W534" s="7"/>
    </row>
    <row r="535" spans="1:23" ht="15.75" customHeight="1" x14ac:dyDescent="0.2">
      <c r="A535" s="7"/>
      <c r="B535" s="7"/>
      <c r="C535" s="7"/>
      <c r="D535" s="7"/>
      <c r="E535" s="7"/>
      <c r="F535" s="7"/>
      <c r="G535" s="7"/>
      <c r="H535" s="7"/>
      <c r="I535" s="7"/>
      <c r="J535" s="7"/>
      <c r="K535" s="7"/>
      <c r="L535" s="7"/>
      <c r="M535" s="7"/>
      <c r="N535" s="7"/>
      <c r="O535" s="7"/>
      <c r="P535" s="7"/>
      <c r="Q535" s="7"/>
      <c r="R535" s="7"/>
      <c r="S535" s="7"/>
      <c r="T535" s="7"/>
      <c r="U535" s="7"/>
      <c r="V535" s="7"/>
      <c r="W535" s="7"/>
    </row>
    <row r="536" spans="1:23" ht="15.75" customHeight="1" x14ac:dyDescent="0.2">
      <c r="A536" s="7"/>
      <c r="B536" s="7"/>
      <c r="C536" s="7"/>
      <c r="D536" s="7"/>
      <c r="E536" s="7"/>
      <c r="F536" s="7"/>
      <c r="G536" s="7"/>
      <c r="H536" s="7"/>
      <c r="I536" s="7"/>
      <c r="J536" s="7"/>
      <c r="K536" s="7"/>
      <c r="L536" s="7"/>
      <c r="M536" s="7"/>
      <c r="N536" s="7"/>
      <c r="O536" s="7"/>
      <c r="P536" s="7"/>
      <c r="Q536" s="7"/>
      <c r="R536" s="7"/>
      <c r="S536" s="7"/>
      <c r="T536" s="7"/>
      <c r="U536" s="7"/>
      <c r="V536" s="7"/>
      <c r="W536" s="7"/>
    </row>
    <row r="537" spans="1:23" ht="15.75" customHeight="1" x14ac:dyDescent="0.2">
      <c r="A537" s="7"/>
      <c r="B537" s="7"/>
      <c r="C537" s="7"/>
      <c r="D537" s="7"/>
      <c r="E537" s="7"/>
      <c r="F537" s="7"/>
      <c r="G537" s="7"/>
      <c r="H537" s="7"/>
      <c r="I537" s="7"/>
      <c r="J537" s="7"/>
      <c r="K537" s="7"/>
      <c r="L537" s="7"/>
      <c r="M537" s="7"/>
      <c r="N537" s="7"/>
      <c r="O537" s="7"/>
      <c r="P537" s="7"/>
      <c r="Q537" s="7"/>
      <c r="R537" s="7"/>
      <c r="S537" s="7"/>
      <c r="T537" s="7"/>
      <c r="U537" s="7"/>
      <c r="V537" s="7"/>
      <c r="W537" s="7"/>
    </row>
    <row r="538" spans="1:23" ht="15.75" customHeight="1" x14ac:dyDescent="0.2">
      <c r="A538" s="7"/>
      <c r="B538" s="7"/>
      <c r="C538" s="7"/>
      <c r="D538" s="7"/>
      <c r="E538" s="7"/>
      <c r="F538" s="7"/>
      <c r="G538" s="7"/>
      <c r="H538" s="7"/>
      <c r="I538" s="7"/>
      <c r="J538" s="7"/>
      <c r="K538" s="7"/>
      <c r="L538" s="7"/>
      <c r="M538" s="7"/>
      <c r="N538" s="7"/>
      <c r="O538" s="7"/>
      <c r="P538" s="7"/>
      <c r="Q538" s="7"/>
      <c r="R538" s="7"/>
      <c r="S538" s="7"/>
      <c r="T538" s="7"/>
      <c r="U538" s="7"/>
      <c r="V538" s="7"/>
      <c r="W538" s="7"/>
    </row>
    <row r="539" spans="1:23" ht="15.75" customHeight="1" x14ac:dyDescent="0.2">
      <c r="A539" s="7"/>
      <c r="B539" s="7"/>
      <c r="C539" s="7"/>
      <c r="D539" s="7"/>
      <c r="E539" s="7"/>
      <c r="F539" s="7"/>
      <c r="G539" s="7"/>
      <c r="H539" s="7"/>
      <c r="I539" s="7"/>
      <c r="J539" s="7"/>
      <c r="K539" s="7"/>
      <c r="L539" s="7"/>
      <c r="M539" s="7"/>
      <c r="N539" s="7"/>
      <c r="O539" s="7"/>
      <c r="P539" s="7"/>
      <c r="Q539" s="7"/>
      <c r="R539" s="7"/>
      <c r="S539" s="7"/>
      <c r="T539" s="7"/>
      <c r="U539" s="7"/>
      <c r="V539" s="7"/>
      <c r="W539" s="7"/>
    </row>
    <row r="540" spans="1:23" ht="15.75" customHeight="1" x14ac:dyDescent="0.2">
      <c r="A540" s="7"/>
      <c r="B540" s="7"/>
      <c r="C540" s="7"/>
      <c r="D540" s="7"/>
      <c r="E540" s="7"/>
      <c r="F540" s="7"/>
      <c r="G540" s="7"/>
      <c r="H540" s="7"/>
      <c r="I540" s="7"/>
      <c r="J540" s="7"/>
      <c r="K540" s="7"/>
      <c r="L540" s="7"/>
      <c r="M540" s="7"/>
      <c r="N540" s="7"/>
      <c r="O540" s="7"/>
      <c r="P540" s="7"/>
      <c r="Q540" s="7"/>
      <c r="R540" s="7"/>
      <c r="S540" s="7"/>
      <c r="T540" s="7"/>
      <c r="U540" s="7"/>
      <c r="V540" s="7"/>
      <c r="W540" s="7"/>
    </row>
    <row r="541" spans="1:23" ht="15.75" customHeight="1" x14ac:dyDescent="0.2">
      <c r="A541" s="7"/>
      <c r="B541" s="7"/>
      <c r="C541" s="7"/>
      <c r="D541" s="7"/>
      <c r="E541" s="7"/>
      <c r="F541" s="7"/>
      <c r="G541" s="7"/>
      <c r="H541" s="7"/>
      <c r="I541" s="7"/>
      <c r="J541" s="7"/>
      <c r="K541" s="7"/>
      <c r="L541" s="7"/>
      <c r="M541" s="7"/>
      <c r="N541" s="7"/>
      <c r="O541" s="7"/>
      <c r="P541" s="7"/>
      <c r="Q541" s="7"/>
      <c r="R541" s="7"/>
      <c r="S541" s="7"/>
      <c r="T541" s="7"/>
      <c r="U541" s="7"/>
      <c r="V541" s="7"/>
      <c r="W541" s="7"/>
    </row>
    <row r="542" spans="1:23" ht="15.75" customHeight="1" x14ac:dyDescent="0.2">
      <c r="A542" s="7"/>
      <c r="B542" s="7"/>
      <c r="C542" s="7"/>
      <c r="D542" s="7"/>
      <c r="E542" s="7"/>
      <c r="F542" s="7"/>
      <c r="G542" s="7"/>
      <c r="H542" s="7"/>
      <c r="I542" s="7"/>
      <c r="J542" s="7"/>
      <c r="K542" s="7"/>
      <c r="L542" s="7"/>
      <c r="M542" s="7"/>
      <c r="N542" s="7"/>
      <c r="O542" s="7"/>
      <c r="P542" s="7"/>
      <c r="Q542" s="7"/>
      <c r="R542" s="7"/>
      <c r="S542" s="7"/>
      <c r="T542" s="7"/>
      <c r="U542" s="7"/>
      <c r="V542" s="7"/>
      <c r="W542" s="7"/>
    </row>
    <row r="543" spans="1:23" ht="15.75" customHeight="1" x14ac:dyDescent="0.2">
      <c r="A543" s="7"/>
      <c r="B543" s="7"/>
      <c r="C543" s="7"/>
      <c r="D543" s="7"/>
      <c r="E543" s="7"/>
      <c r="F543" s="7"/>
      <c r="G543" s="7"/>
      <c r="H543" s="7"/>
      <c r="I543" s="7"/>
      <c r="J543" s="7"/>
      <c r="K543" s="7"/>
      <c r="L543" s="7"/>
      <c r="M543" s="7"/>
      <c r="N543" s="7"/>
      <c r="O543" s="7"/>
      <c r="P543" s="7"/>
      <c r="Q543" s="7"/>
      <c r="R543" s="7"/>
      <c r="S543" s="7"/>
      <c r="T543" s="7"/>
      <c r="U543" s="7"/>
      <c r="V543" s="7"/>
      <c r="W543" s="7"/>
    </row>
    <row r="544" spans="1:23" ht="15.75" customHeight="1" x14ac:dyDescent="0.2">
      <c r="A544" s="7"/>
      <c r="B544" s="7"/>
      <c r="C544" s="7"/>
      <c r="D544" s="7"/>
      <c r="E544" s="7"/>
      <c r="F544" s="7"/>
      <c r="G544" s="7"/>
      <c r="H544" s="7"/>
      <c r="I544" s="7"/>
      <c r="J544" s="7"/>
      <c r="K544" s="7"/>
      <c r="L544" s="7"/>
      <c r="M544" s="7"/>
      <c r="N544" s="7"/>
      <c r="O544" s="7"/>
      <c r="P544" s="7"/>
      <c r="Q544" s="7"/>
      <c r="R544" s="7"/>
      <c r="S544" s="7"/>
      <c r="T544" s="7"/>
      <c r="U544" s="7"/>
      <c r="V544" s="7"/>
      <c r="W544" s="7"/>
    </row>
    <row r="545" spans="1:23" ht="15.75" customHeight="1" x14ac:dyDescent="0.2">
      <c r="A545" s="7"/>
      <c r="B545" s="7"/>
      <c r="C545" s="7"/>
      <c r="D545" s="7"/>
      <c r="E545" s="7"/>
      <c r="F545" s="7"/>
      <c r="G545" s="7"/>
      <c r="H545" s="7"/>
      <c r="I545" s="7"/>
      <c r="J545" s="7"/>
      <c r="K545" s="7"/>
      <c r="L545" s="7"/>
      <c r="M545" s="7"/>
      <c r="N545" s="7"/>
      <c r="O545" s="7"/>
      <c r="P545" s="7"/>
      <c r="Q545" s="7"/>
      <c r="R545" s="7"/>
      <c r="S545" s="7"/>
      <c r="T545" s="7"/>
      <c r="U545" s="7"/>
      <c r="V545" s="7"/>
      <c r="W545" s="7"/>
    </row>
    <row r="546" spans="1:23" ht="15.75" customHeight="1" x14ac:dyDescent="0.2">
      <c r="A546" s="7"/>
      <c r="B546" s="7"/>
      <c r="C546" s="7"/>
      <c r="D546" s="7"/>
      <c r="E546" s="7"/>
      <c r="F546" s="7"/>
      <c r="G546" s="7"/>
      <c r="H546" s="7"/>
      <c r="I546" s="7"/>
      <c r="J546" s="7"/>
      <c r="K546" s="7"/>
      <c r="L546" s="7"/>
      <c r="M546" s="7"/>
      <c r="N546" s="7"/>
      <c r="O546" s="7"/>
      <c r="P546" s="7"/>
      <c r="Q546" s="7"/>
      <c r="R546" s="7"/>
      <c r="S546" s="7"/>
      <c r="T546" s="7"/>
      <c r="U546" s="7"/>
      <c r="V546" s="7"/>
      <c r="W546" s="7"/>
    </row>
    <row r="547" spans="1:23" ht="15.75" customHeight="1" x14ac:dyDescent="0.2">
      <c r="A547" s="7"/>
      <c r="B547" s="7"/>
      <c r="C547" s="7"/>
      <c r="D547" s="7"/>
      <c r="E547" s="7"/>
      <c r="F547" s="7"/>
      <c r="G547" s="7"/>
      <c r="H547" s="7"/>
      <c r="I547" s="7"/>
      <c r="J547" s="7"/>
      <c r="K547" s="7"/>
      <c r="L547" s="7"/>
      <c r="M547" s="7"/>
      <c r="N547" s="7"/>
      <c r="O547" s="7"/>
      <c r="P547" s="7"/>
      <c r="Q547" s="7"/>
      <c r="R547" s="7"/>
      <c r="S547" s="7"/>
      <c r="T547" s="7"/>
      <c r="U547" s="7"/>
      <c r="V547" s="7"/>
      <c r="W547" s="7"/>
    </row>
    <row r="548" spans="1:23" ht="15.75" customHeight="1" x14ac:dyDescent="0.2">
      <c r="A548" s="7"/>
      <c r="B548" s="7"/>
      <c r="C548" s="7"/>
      <c r="D548" s="7"/>
      <c r="E548" s="7"/>
      <c r="F548" s="7"/>
      <c r="G548" s="7"/>
      <c r="H548" s="7"/>
      <c r="I548" s="7"/>
      <c r="J548" s="7"/>
      <c r="K548" s="7"/>
      <c r="L548" s="7"/>
      <c r="M548" s="7"/>
      <c r="N548" s="7"/>
      <c r="O548" s="7"/>
      <c r="P548" s="7"/>
      <c r="Q548" s="7"/>
      <c r="R548" s="7"/>
      <c r="S548" s="7"/>
      <c r="T548" s="7"/>
      <c r="U548" s="7"/>
      <c r="V548" s="7"/>
      <c r="W548" s="7"/>
    </row>
    <row r="549" spans="1:23" ht="15.75" customHeight="1" x14ac:dyDescent="0.2">
      <c r="A549" s="7"/>
      <c r="B549" s="7"/>
      <c r="C549" s="7"/>
      <c r="D549" s="7"/>
      <c r="E549" s="7"/>
      <c r="F549" s="7"/>
      <c r="G549" s="7"/>
      <c r="H549" s="7"/>
      <c r="I549" s="7"/>
      <c r="J549" s="7"/>
      <c r="K549" s="7"/>
      <c r="L549" s="7"/>
      <c r="M549" s="7"/>
      <c r="N549" s="7"/>
      <c r="O549" s="7"/>
      <c r="P549" s="7"/>
      <c r="Q549" s="7"/>
      <c r="R549" s="7"/>
      <c r="S549" s="7"/>
      <c r="T549" s="7"/>
      <c r="U549" s="7"/>
      <c r="V549" s="7"/>
      <c r="W549" s="7"/>
    </row>
    <row r="550" spans="1:23" ht="15.75" customHeight="1" x14ac:dyDescent="0.2">
      <c r="A550" s="7"/>
      <c r="B550" s="7"/>
      <c r="C550" s="7"/>
      <c r="D550" s="7"/>
      <c r="E550" s="7"/>
      <c r="F550" s="7"/>
      <c r="G550" s="7"/>
      <c r="H550" s="7"/>
      <c r="I550" s="7"/>
      <c r="J550" s="7"/>
      <c r="K550" s="7"/>
      <c r="L550" s="7"/>
      <c r="M550" s="7"/>
      <c r="N550" s="7"/>
      <c r="O550" s="7"/>
      <c r="P550" s="7"/>
      <c r="Q550" s="7"/>
      <c r="R550" s="7"/>
      <c r="S550" s="7"/>
      <c r="T550" s="7"/>
      <c r="U550" s="7"/>
      <c r="V550" s="7"/>
      <c r="W550" s="7"/>
    </row>
    <row r="551" spans="1:23" ht="15.75" customHeight="1" x14ac:dyDescent="0.2">
      <c r="A551" s="7"/>
      <c r="B551" s="7"/>
      <c r="C551" s="7"/>
      <c r="D551" s="7"/>
      <c r="E551" s="7"/>
      <c r="F551" s="7"/>
      <c r="G551" s="7"/>
      <c r="H551" s="7"/>
      <c r="I551" s="7"/>
      <c r="J551" s="7"/>
      <c r="K551" s="7"/>
      <c r="L551" s="7"/>
      <c r="M551" s="7"/>
      <c r="N551" s="7"/>
      <c r="O551" s="7"/>
      <c r="P551" s="7"/>
      <c r="Q551" s="7"/>
      <c r="R551" s="7"/>
      <c r="S551" s="7"/>
      <c r="T551" s="7"/>
      <c r="U551" s="7"/>
      <c r="V551" s="7"/>
      <c r="W551" s="7"/>
    </row>
    <row r="552" spans="1:23" ht="15.75" customHeight="1" x14ac:dyDescent="0.2">
      <c r="A552" s="7"/>
      <c r="B552" s="7"/>
      <c r="C552" s="7"/>
      <c r="D552" s="7"/>
      <c r="E552" s="7"/>
      <c r="F552" s="7"/>
      <c r="G552" s="7"/>
      <c r="H552" s="7"/>
      <c r="I552" s="7"/>
      <c r="J552" s="7"/>
      <c r="K552" s="7"/>
      <c r="L552" s="7"/>
      <c r="M552" s="7"/>
      <c r="N552" s="7"/>
      <c r="O552" s="7"/>
      <c r="P552" s="7"/>
      <c r="Q552" s="7"/>
      <c r="R552" s="7"/>
      <c r="S552" s="7"/>
      <c r="T552" s="7"/>
      <c r="U552" s="7"/>
      <c r="V552" s="7"/>
      <c r="W552" s="7"/>
    </row>
    <row r="553" spans="1:23" ht="15.75" customHeight="1" x14ac:dyDescent="0.2">
      <c r="A553" s="7"/>
      <c r="B553" s="7"/>
      <c r="C553" s="7"/>
      <c r="D553" s="7"/>
      <c r="E553" s="7"/>
      <c r="F553" s="7"/>
      <c r="G553" s="7"/>
      <c r="H553" s="7"/>
      <c r="I553" s="7"/>
      <c r="J553" s="7"/>
      <c r="K553" s="7"/>
      <c r="L553" s="7"/>
      <c r="M553" s="7"/>
      <c r="N553" s="7"/>
      <c r="O553" s="7"/>
      <c r="P553" s="7"/>
      <c r="Q553" s="7"/>
      <c r="R553" s="7"/>
      <c r="S553" s="7"/>
      <c r="T553" s="7"/>
      <c r="U553" s="7"/>
      <c r="V553" s="7"/>
      <c r="W553" s="7"/>
    </row>
    <row r="554" spans="1:23" ht="15.75" customHeight="1" x14ac:dyDescent="0.2">
      <c r="A554" s="7"/>
      <c r="B554" s="7"/>
      <c r="C554" s="7"/>
      <c r="D554" s="7"/>
      <c r="E554" s="7"/>
      <c r="F554" s="7"/>
      <c r="G554" s="7"/>
      <c r="H554" s="7"/>
      <c r="I554" s="7"/>
      <c r="J554" s="7"/>
      <c r="K554" s="7"/>
      <c r="L554" s="7"/>
      <c r="M554" s="7"/>
      <c r="N554" s="7"/>
      <c r="O554" s="7"/>
      <c r="P554" s="7"/>
      <c r="Q554" s="7"/>
      <c r="R554" s="7"/>
      <c r="S554" s="7"/>
      <c r="T554" s="7"/>
      <c r="U554" s="7"/>
      <c r="V554" s="7"/>
      <c r="W554" s="7"/>
    </row>
    <row r="555" spans="1:23" ht="15.75" customHeight="1" x14ac:dyDescent="0.2">
      <c r="A555" s="7"/>
      <c r="B555" s="7"/>
      <c r="C555" s="7"/>
      <c r="D555" s="7"/>
      <c r="E555" s="7"/>
      <c r="F555" s="7"/>
      <c r="G555" s="7"/>
      <c r="H555" s="7"/>
      <c r="I555" s="7"/>
      <c r="J555" s="7"/>
      <c r="K555" s="7"/>
      <c r="L555" s="7"/>
      <c r="M555" s="7"/>
      <c r="N555" s="7"/>
      <c r="O555" s="7"/>
      <c r="P555" s="7"/>
      <c r="Q555" s="7"/>
      <c r="R555" s="7"/>
      <c r="S555" s="7"/>
      <c r="T555" s="7"/>
      <c r="U555" s="7"/>
      <c r="V555" s="7"/>
      <c r="W555" s="7"/>
    </row>
    <row r="556" spans="1:23" ht="15.75" customHeight="1" x14ac:dyDescent="0.2">
      <c r="A556" s="7"/>
      <c r="B556" s="7"/>
      <c r="C556" s="7"/>
      <c r="D556" s="7"/>
      <c r="E556" s="7"/>
      <c r="F556" s="7"/>
      <c r="G556" s="7"/>
      <c r="H556" s="7"/>
      <c r="I556" s="7"/>
      <c r="J556" s="7"/>
      <c r="K556" s="7"/>
      <c r="L556" s="7"/>
      <c r="M556" s="7"/>
      <c r="N556" s="7"/>
      <c r="O556" s="7"/>
      <c r="P556" s="7"/>
      <c r="Q556" s="7"/>
      <c r="R556" s="7"/>
      <c r="S556" s="7"/>
      <c r="T556" s="7"/>
      <c r="U556" s="7"/>
      <c r="V556" s="7"/>
      <c r="W556" s="7"/>
    </row>
    <row r="557" spans="1:23" ht="15.75" customHeight="1" x14ac:dyDescent="0.2">
      <c r="A557" s="7"/>
      <c r="B557" s="7"/>
      <c r="C557" s="7"/>
      <c r="D557" s="7"/>
      <c r="E557" s="7"/>
      <c r="F557" s="7"/>
      <c r="G557" s="7"/>
      <c r="H557" s="7"/>
      <c r="I557" s="7"/>
      <c r="J557" s="7"/>
      <c r="K557" s="7"/>
      <c r="L557" s="7"/>
      <c r="M557" s="7"/>
      <c r="N557" s="7"/>
      <c r="O557" s="7"/>
      <c r="P557" s="7"/>
      <c r="Q557" s="7"/>
      <c r="R557" s="7"/>
      <c r="S557" s="7"/>
      <c r="T557" s="7"/>
      <c r="U557" s="7"/>
      <c r="V557" s="7"/>
      <c r="W557" s="7"/>
    </row>
    <row r="558" spans="1:23" ht="15.75" customHeight="1" x14ac:dyDescent="0.2">
      <c r="A558" s="7"/>
      <c r="B558" s="7"/>
      <c r="C558" s="7"/>
      <c r="D558" s="7"/>
      <c r="E558" s="7"/>
      <c r="F558" s="7"/>
      <c r="G558" s="7"/>
      <c r="H558" s="7"/>
      <c r="I558" s="7"/>
      <c r="J558" s="7"/>
      <c r="K558" s="7"/>
      <c r="L558" s="7"/>
      <c r="M558" s="7"/>
      <c r="N558" s="7"/>
      <c r="O558" s="7"/>
      <c r="P558" s="7"/>
      <c r="Q558" s="7"/>
      <c r="R558" s="7"/>
      <c r="S558" s="7"/>
      <c r="T558" s="7"/>
      <c r="U558" s="7"/>
      <c r="V558" s="7"/>
      <c r="W558" s="7"/>
    </row>
    <row r="559" spans="1:23" ht="15.75" customHeight="1" x14ac:dyDescent="0.2">
      <c r="A559" s="7"/>
      <c r="B559" s="7"/>
      <c r="C559" s="7"/>
      <c r="D559" s="7"/>
      <c r="E559" s="7"/>
      <c r="F559" s="7"/>
      <c r="G559" s="7"/>
      <c r="H559" s="7"/>
      <c r="I559" s="7"/>
      <c r="J559" s="7"/>
      <c r="K559" s="7"/>
      <c r="L559" s="7"/>
      <c r="M559" s="7"/>
      <c r="N559" s="7"/>
      <c r="O559" s="7"/>
      <c r="P559" s="7"/>
      <c r="Q559" s="7"/>
      <c r="R559" s="7"/>
      <c r="S559" s="7"/>
      <c r="T559" s="7"/>
      <c r="U559" s="7"/>
      <c r="V559" s="7"/>
      <c r="W559" s="7"/>
    </row>
    <row r="560" spans="1:23" ht="15.75" customHeight="1" x14ac:dyDescent="0.2">
      <c r="A560" s="7"/>
      <c r="B560" s="7"/>
      <c r="C560" s="7"/>
      <c r="D560" s="7"/>
      <c r="E560" s="7"/>
      <c r="F560" s="7"/>
      <c r="G560" s="7"/>
      <c r="H560" s="7"/>
      <c r="I560" s="7"/>
      <c r="J560" s="7"/>
      <c r="K560" s="7"/>
      <c r="L560" s="7"/>
      <c r="M560" s="7"/>
      <c r="N560" s="7"/>
      <c r="O560" s="7"/>
      <c r="P560" s="7"/>
      <c r="Q560" s="7"/>
      <c r="R560" s="7"/>
      <c r="S560" s="7"/>
      <c r="T560" s="7"/>
      <c r="U560" s="7"/>
      <c r="V560" s="7"/>
      <c r="W560" s="7"/>
    </row>
    <row r="561" spans="1:23" ht="15.75" customHeight="1" x14ac:dyDescent="0.2">
      <c r="A561" s="7"/>
      <c r="B561" s="7"/>
      <c r="C561" s="7"/>
      <c r="D561" s="7"/>
      <c r="E561" s="7"/>
      <c r="F561" s="7"/>
      <c r="G561" s="7"/>
      <c r="H561" s="7"/>
      <c r="I561" s="7"/>
      <c r="J561" s="7"/>
      <c r="K561" s="7"/>
      <c r="L561" s="7"/>
      <c r="M561" s="7"/>
      <c r="N561" s="7"/>
      <c r="O561" s="7"/>
      <c r="P561" s="7"/>
      <c r="Q561" s="7"/>
      <c r="R561" s="7"/>
      <c r="S561" s="7"/>
      <c r="T561" s="7"/>
      <c r="U561" s="7"/>
      <c r="V561" s="7"/>
      <c r="W561" s="7"/>
    </row>
    <row r="562" spans="1:23" ht="15.75" customHeight="1" x14ac:dyDescent="0.2">
      <c r="A562" s="7"/>
      <c r="B562" s="7"/>
      <c r="C562" s="7"/>
      <c r="D562" s="7"/>
      <c r="E562" s="7"/>
      <c r="F562" s="7"/>
      <c r="G562" s="7"/>
      <c r="H562" s="7"/>
      <c r="I562" s="7"/>
      <c r="J562" s="7"/>
      <c r="K562" s="7"/>
      <c r="L562" s="7"/>
      <c r="M562" s="7"/>
      <c r="N562" s="7"/>
      <c r="O562" s="7"/>
      <c r="P562" s="7"/>
      <c r="Q562" s="7"/>
      <c r="R562" s="7"/>
      <c r="S562" s="7"/>
      <c r="T562" s="7"/>
      <c r="U562" s="7"/>
      <c r="V562" s="7"/>
      <c r="W562" s="7"/>
    </row>
    <row r="563" spans="1:23" ht="15.75" customHeight="1" x14ac:dyDescent="0.2">
      <c r="A563" s="7"/>
      <c r="B563" s="7"/>
      <c r="C563" s="7"/>
      <c r="D563" s="7"/>
      <c r="E563" s="7"/>
      <c r="F563" s="7"/>
      <c r="G563" s="7"/>
      <c r="H563" s="7"/>
      <c r="I563" s="7"/>
      <c r="J563" s="7"/>
      <c r="K563" s="7"/>
      <c r="L563" s="7"/>
      <c r="M563" s="7"/>
      <c r="N563" s="7"/>
      <c r="O563" s="7"/>
      <c r="P563" s="7"/>
      <c r="Q563" s="7"/>
      <c r="R563" s="7"/>
      <c r="S563" s="7"/>
      <c r="T563" s="7"/>
      <c r="U563" s="7"/>
      <c r="V563" s="7"/>
      <c r="W563" s="7"/>
    </row>
    <row r="564" spans="1:23" ht="15.75" customHeight="1" x14ac:dyDescent="0.2">
      <c r="A564" s="7"/>
      <c r="B564" s="7"/>
      <c r="C564" s="7"/>
      <c r="D564" s="7"/>
      <c r="E564" s="7"/>
      <c r="F564" s="7"/>
      <c r="G564" s="7"/>
      <c r="H564" s="7"/>
      <c r="I564" s="7"/>
      <c r="J564" s="7"/>
      <c r="K564" s="7"/>
      <c r="L564" s="7"/>
      <c r="M564" s="7"/>
      <c r="N564" s="7"/>
      <c r="O564" s="7"/>
      <c r="P564" s="7"/>
      <c r="Q564" s="7"/>
      <c r="R564" s="7"/>
      <c r="S564" s="7"/>
      <c r="T564" s="7"/>
      <c r="U564" s="7"/>
      <c r="V564" s="7"/>
      <c r="W564" s="7"/>
    </row>
    <row r="565" spans="1:23" ht="15.75" customHeight="1" x14ac:dyDescent="0.2">
      <c r="A565" s="7"/>
      <c r="B565" s="7"/>
      <c r="C565" s="7"/>
      <c r="D565" s="7"/>
      <c r="E565" s="7"/>
      <c r="F565" s="7"/>
      <c r="G565" s="7"/>
      <c r="H565" s="7"/>
      <c r="I565" s="7"/>
      <c r="J565" s="7"/>
      <c r="K565" s="7"/>
      <c r="L565" s="7"/>
      <c r="M565" s="7"/>
      <c r="N565" s="7"/>
      <c r="O565" s="7"/>
      <c r="P565" s="7"/>
      <c r="Q565" s="7"/>
      <c r="R565" s="7"/>
      <c r="S565" s="7"/>
      <c r="T565" s="7"/>
      <c r="U565" s="7"/>
      <c r="V565" s="7"/>
      <c r="W565" s="7"/>
    </row>
    <row r="566" spans="1:23" ht="15.75" customHeight="1" x14ac:dyDescent="0.2">
      <c r="A566" s="7"/>
      <c r="B566" s="7"/>
      <c r="C566" s="7"/>
      <c r="D566" s="7"/>
      <c r="E566" s="7"/>
      <c r="F566" s="7"/>
      <c r="G566" s="7"/>
      <c r="H566" s="7"/>
      <c r="I566" s="7"/>
      <c r="J566" s="7"/>
      <c r="K566" s="7"/>
      <c r="L566" s="7"/>
      <c r="M566" s="7"/>
      <c r="N566" s="7"/>
      <c r="O566" s="7"/>
      <c r="P566" s="7"/>
      <c r="Q566" s="7"/>
      <c r="R566" s="7"/>
      <c r="S566" s="7"/>
      <c r="T566" s="7"/>
      <c r="U566" s="7"/>
      <c r="V566" s="7"/>
      <c r="W566" s="7"/>
    </row>
    <row r="567" spans="1:23" ht="15.75" customHeight="1" x14ac:dyDescent="0.2">
      <c r="A567" s="7"/>
      <c r="B567" s="7"/>
      <c r="C567" s="7"/>
      <c r="D567" s="7"/>
      <c r="E567" s="7"/>
      <c r="F567" s="7"/>
      <c r="G567" s="7"/>
      <c r="H567" s="7"/>
      <c r="I567" s="7"/>
      <c r="J567" s="7"/>
      <c r="K567" s="7"/>
      <c r="L567" s="7"/>
      <c r="M567" s="7"/>
      <c r="N567" s="7"/>
      <c r="O567" s="7"/>
      <c r="P567" s="7"/>
      <c r="Q567" s="7"/>
      <c r="R567" s="7"/>
      <c r="S567" s="7"/>
      <c r="T567" s="7"/>
      <c r="U567" s="7"/>
      <c r="V567" s="7"/>
      <c r="W567" s="7"/>
    </row>
    <row r="568" spans="1:23" ht="15.75" customHeight="1" x14ac:dyDescent="0.2">
      <c r="A568" s="7"/>
      <c r="B568" s="7"/>
      <c r="C568" s="7"/>
      <c r="D568" s="7"/>
      <c r="E568" s="7"/>
      <c r="F568" s="7"/>
      <c r="G568" s="7"/>
      <c r="H568" s="7"/>
      <c r="I568" s="7"/>
      <c r="J568" s="7"/>
      <c r="K568" s="7"/>
      <c r="L568" s="7"/>
      <c r="M568" s="7"/>
      <c r="N568" s="7"/>
      <c r="O568" s="7"/>
      <c r="P568" s="7"/>
      <c r="Q568" s="7"/>
      <c r="R568" s="7"/>
      <c r="S568" s="7"/>
      <c r="T568" s="7"/>
      <c r="U568" s="7"/>
      <c r="V568" s="7"/>
      <c r="W568" s="7"/>
    </row>
    <row r="569" spans="1:23" ht="15.75" customHeight="1" x14ac:dyDescent="0.2">
      <c r="A569" s="7"/>
      <c r="B569" s="7"/>
      <c r="C569" s="7"/>
      <c r="D569" s="7"/>
      <c r="E569" s="7"/>
      <c r="F569" s="7"/>
      <c r="G569" s="7"/>
      <c r="H569" s="7"/>
      <c r="I569" s="7"/>
      <c r="J569" s="7"/>
      <c r="K569" s="7"/>
      <c r="L569" s="7"/>
      <c r="M569" s="7"/>
      <c r="N569" s="7"/>
      <c r="O569" s="7"/>
      <c r="P569" s="7"/>
      <c r="Q569" s="7"/>
      <c r="R569" s="7"/>
      <c r="S569" s="7"/>
      <c r="T569" s="7"/>
      <c r="U569" s="7"/>
      <c r="V569" s="7"/>
      <c r="W569" s="7"/>
    </row>
    <row r="570" spans="1:23" ht="15.75" customHeight="1" x14ac:dyDescent="0.2">
      <c r="A570" s="7"/>
      <c r="B570" s="7"/>
      <c r="C570" s="7"/>
      <c r="D570" s="7"/>
      <c r="E570" s="7"/>
      <c r="F570" s="7"/>
      <c r="G570" s="7"/>
      <c r="H570" s="7"/>
      <c r="I570" s="7"/>
      <c r="J570" s="7"/>
      <c r="K570" s="7"/>
      <c r="L570" s="7"/>
      <c r="M570" s="7"/>
      <c r="N570" s="7"/>
      <c r="O570" s="7"/>
      <c r="P570" s="7"/>
      <c r="Q570" s="7"/>
      <c r="R570" s="7"/>
      <c r="S570" s="7"/>
      <c r="T570" s="7"/>
      <c r="U570" s="7"/>
      <c r="V570" s="7"/>
      <c r="W570" s="7"/>
    </row>
    <row r="571" spans="1:23" ht="15.75" customHeight="1" x14ac:dyDescent="0.2">
      <c r="A571" s="7"/>
      <c r="B571" s="7"/>
      <c r="C571" s="7"/>
      <c r="D571" s="7"/>
      <c r="E571" s="7"/>
      <c r="F571" s="7"/>
      <c r="G571" s="7"/>
      <c r="H571" s="7"/>
      <c r="I571" s="7"/>
      <c r="J571" s="7"/>
      <c r="K571" s="7"/>
      <c r="L571" s="7"/>
      <c r="M571" s="7"/>
      <c r="N571" s="7"/>
      <c r="O571" s="7"/>
      <c r="P571" s="7"/>
      <c r="Q571" s="7"/>
      <c r="R571" s="7"/>
      <c r="S571" s="7"/>
      <c r="T571" s="7"/>
      <c r="U571" s="7"/>
      <c r="V571" s="7"/>
      <c r="W571" s="7"/>
    </row>
    <row r="572" spans="1:23" ht="15.75" customHeight="1" x14ac:dyDescent="0.2">
      <c r="A572" s="7"/>
      <c r="B572" s="7"/>
      <c r="C572" s="7"/>
      <c r="D572" s="7"/>
      <c r="E572" s="7"/>
      <c r="F572" s="7"/>
      <c r="G572" s="7"/>
      <c r="H572" s="7"/>
      <c r="I572" s="7"/>
      <c r="J572" s="7"/>
      <c r="K572" s="7"/>
      <c r="L572" s="7"/>
      <c r="M572" s="7"/>
      <c r="N572" s="7"/>
      <c r="O572" s="7"/>
      <c r="P572" s="7"/>
      <c r="Q572" s="7"/>
      <c r="R572" s="7"/>
      <c r="S572" s="7"/>
      <c r="T572" s="7"/>
      <c r="U572" s="7"/>
      <c r="V572" s="7"/>
      <c r="W572" s="7"/>
    </row>
    <row r="573" spans="1:23" ht="15.75" customHeight="1" x14ac:dyDescent="0.2">
      <c r="A573" s="7"/>
      <c r="B573" s="7"/>
      <c r="C573" s="7"/>
      <c r="D573" s="7"/>
      <c r="E573" s="7"/>
      <c r="F573" s="7"/>
      <c r="G573" s="7"/>
      <c r="H573" s="7"/>
      <c r="I573" s="7"/>
      <c r="J573" s="7"/>
      <c r="K573" s="7"/>
      <c r="L573" s="7"/>
      <c r="M573" s="7"/>
      <c r="N573" s="7"/>
      <c r="O573" s="7"/>
      <c r="P573" s="7"/>
      <c r="Q573" s="7"/>
      <c r="R573" s="7"/>
      <c r="S573" s="7"/>
      <c r="T573" s="7"/>
      <c r="U573" s="7"/>
      <c r="V573" s="7"/>
      <c r="W573" s="7"/>
    </row>
    <row r="574" spans="1:23" ht="15.75" customHeight="1" x14ac:dyDescent="0.2">
      <c r="A574" s="7"/>
      <c r="B574" s="7"/>
      <c r="C574" s="7"/>
      <c r="D574" s="7"/>
      <c r="E574" s="7"/>
      <c r="F574" s="7"/>
      <c r="G574" s="7"/>
      <c r="H574" s="7"/>
      <c r="I574" s="7"/>
      <c r="J574" s="7"/>
      <c r="K574" s="7"/>
      <c r="L574" s="7"/>
      <c r="M574" s="7"/>
      <c r="N574" s="7"/>
      <c r="O574" s="7"/>
      <c r="P574" s="7"/>
      <c r="Q574" s="7"/>
      <c r="R574" s="7"/>
      <c r="S574" s="7"/>
      <c r="T574" s="7"/>
      <c r="U574" s="7"/>
      <c r="V574" s="7"/>
      <c r="W574" s="7"/>
    </row>
    <row r="575" spans="1:23" ht="15.75" customHeight="1" x14ac:dyDescent="0.2">
      <c r="A575" s="7"/>
      <c r="B575" s="7"/>
      <c r="C575" s="7"/>
      <c r="D575" s="7"/>
      <c r="E575" s="7"/>
      <c r="F575" s="7"/>
      <c r="G575" s="7"/>
      <c r="H575" s="7"/>
      <c r="I575" s="7"/>
      <c r="J575" s="7"/>
      <c r="K575" s="7"/>
      <c r="L575" s="7"/>
      <c r="M575" s="7"/>
      <c r="N575" s="7"/>
      <c r="O575" s="7"/>
      <c r="P575" s="7"/>
      <c r="Q575" s="7"/>
      <c r="R575" s="7"/>
      <c r="S575" s="7"/>
      <c r="T575" s="7"/>
      <c r="U575" s="7"/>
      <c r="V575" s="7"/>
      <c r="W575" s="7"/>
    </row>
    <row r="576" spans="1:23" ht="15.75" customHeight="1" x14ac:dyDescent="0.2">
      <c r="A576" s="7"/>
      <c r="B576" s="7"/>
      <c r="C576" s="7"/>
      <c r="D576" s="7"/>
      <c r="E576" s="7"/>
      <c r="F576" s="7"/>
      <c r="G576" s="7"/>
      <c r="H576" s="7"/>
      <c r="I576" s="7"/>
      <c r="J576" s="7"/>
      <c r="K576" s="7"/>
      <c r="L576" s="7"/>
      <c r="M576" s="7"/>
      <c r="N576" s="7"/>
      <c r="O576" s="7"/>
      <c r="P576" s="7"/>
      <c r="Q576" s="7"/>
      <c r="R576" s="7"/>
      <c r="S576" s="7"/>
      <c r="T576" s="7"/>
      <c r="U576" s="7"/>
      <c r="V576" s="7"/>
      <c r="W576" s="7"/>
    </row>
    <row r="577" spans="1:23" ht="15.75" customHeight="1" x14ac:dyDescent="0.2">
      <c r="A577" s="7"/>
      <c r="B577" s="7"/>
      <c r="C577" s="7"/>
      <c r="D577" s="7"/>
      <c r="E577" s="7"/>
      <c r="F577" s="7"/>
      <c r="G577" s="7"/>
      <c r="H577" s="7"/>
      <c r="I577" s="7"/>
      <c r="J577" s="7"/>
      <c r="K577" s="7"/>
      <c r="L577" s="7"/>
      <c r="M577" s="7"/>
      <c r="N577" s="7"/>
      <c r="O577" s="7"/>
      <c r="P577" s="7"/>
      <c r="Q577" s="7"/>
      <c r="R577" s="7"/>
      <c r="S577" s="7"/>
      <c r="T577" s="7"/>
      <c r="U577" s="7"/>
      <c r="V577" s="7"/>
      <c r="W577" s="7"/>
    </row>
    <row r="578" spans="1:23" ht="15.75" customHeight="1" x14ac:dyDescent="0.2">
      <c r="A578" s="7"/>
      <c r="B578" s="7"/>
      <c r="C578" s="7"/>
      <c r="D578" s="7"/>
      <c r="E578" s="7"/>
      <c r="F578" s="7"/>
      <c r="G578" s="7"/>
      <c r="H578" s="7"/>
      <c r="I578" s="7"/>
      <c r="J578" s="7"/>
      <c r="K578" s="7"/>
      <c r="L578" s="7"/>
      <c r="M578" s="7"/>
      <c r="N578" s="7"/>
      <c r="O578" s="7"/>
      <c r="P578" s="7"/>
      <c r="Q578" s="7"/>
      <c r="R578" s="7"/>
      <c r="S578" s="7"/>
      <c r="T578" s="7"/>
      <c r="U578" s="7"/>
      <c r="V578" s="7"/>
      <c r="W578" s="7"/>
    </row>
    <row r="579" spans="1:23" ht="15.75" customHeight="1" x14ac:dyDescent="0.2">
      <c r="A579" s="7"/>
      <c r="B579" s="7"/>
      <c r="C579" s="7"/>
      <c r="D579" s="7"/>
      <c r="E579" s="7"/>
      <c r="F579" s="7"/>
      <c r="G579" s="7"/>
      <c r="H579" s="7"/>
      <c r="I579" s="7"/>
      <c r="J579" s="7"/>
      <c r="K579" s="7"/>
      <c r="L579" s="7"/>
      <c r="M579" s="7"/>
      <c r="N579" s="7"/>
      <c r="O579" s="7"/>
      <c r="P579" s="7"/>
      <c r="Q579" s="7"/>
      <c r="R579" s="7"/>
      <c r="S579" s="7"/>
      <c r="T579" s="7"/>
      <c r="U579" s="7"/>
      <c r="V579" s="7"/>
      <c r="W579" s="7"/>
    </row>
    <row r="580" spans="1:23" ht="15.75" customHeight="1" x14ac:dyDescent="0.2">
      <c r="A580" s="7"/>
      <c r="B580" s="7"/>
      <c r="C580" s="7"/>
      <c r="D580" s="7"/>
      <c r="E580" s="7"/>
      <c r="F580" s="7"/>
      <c r="G580" s="7"/>
      <c r="H580" s="7"/>
      <c r="I580" s="7"/>
      <c r="J580" s="7"/>
      <c r="K580" s="7"/>
      <c r="L580" s="7"/>
      <c r="M580" s="7"/>
      <c r="N580" s="7"/>
      <c r="O580" s="7"/>
      <c r="P580" s="7"/>
      <c r="Q580" s="7"/>
      <c r="R580" s="7"/>
      <c r="S580" s="7"/>
      <c r="T580" s="7"/>
      <c r="U580" s="7"/>
      <c r="V580" s="7"/>
      <c r="W580" s="7"/>
    </row>
    <row r="581" spans="1:23" ht="15.75" customHeight="1" x14ac:dyDescent="0.2">
      <c r="A581" s="7"/>
      <c r="B581" s="7"/>
      <c r="C581" s="7"/>
      <c r="D581" s="7"/>
      <c r="E581" s="7"/>
      <c r="F581" s="7"/>
      <c r="G581" s="7"/>
      <c r="H581" s="7"/>
      <c r="I581" s="7"/>
      <c r="J581" s="7"/>
      <c r="K581" s="7"/>
      <c r="L581" s="7"/>
      <c r="M581" s="7"/>
      <c r="N581" s="7"/>
      <c r="O581" s="7"/>
      <c r="P581" s="7"/>
      <c r="Q581" s="7"/>
      <c r="R581" s="7"/>
      <c r="S581" s="7"/>
      <c r="T581" s="7"/>
      <c r="U581" s="7"/>
      <c r="V581" s="7"/>
      <c r="W581" s="7"/>
    </row>
    <row r="582" spans="1:23" ht="15.75" customHeight="1" x14ac:dyDescent="0.2">
      <c r="A582" s="7"/>
      <c r="B582" s="7"/>
      <c r="C582" s="7"/>
      <c r="D582" s="7"/>
      <c r="E582" s="7"/>
      <c r="F582" s="7"/>
      <c r="G582" s="7"/>
      <c r="H582" s="7"/>
      <c r="I582" s="7"/>
      <c r="J582" s="7"/>
      <c r="K582" s="7"/>
      <c r="L582" s="7"/>
      <c r="M582" s="7"/>
      <c r="N582" s="7"/>
      <c r="O582" s="7"/>
      <c r="P582" s="7"/>
      <c r="Q582" s="7"/>
      <c r="R582" s="7"/>
      <c r="S582" s="7"/>
      <c r="T582" s="7"/>
      <c r="U582" s="7"/>
      <c r="V582" s="7"/>
      <c r="W582" s="7"/>
    </row>
    <row r="583" spans="1:23" ht="15.75" customHeight="1" x14ac:dyDescent="0.2">
      <c r="A583" s="7"/>
      <c r="B583" s="7"/>
      <c r="C583" s="7"/>
      <c r="D583" s="7"/>
      <c r="E583" s="7"/>
      <c r="F583" s="7"/>
      <c r="G583" s="7"/>
      <c r="H583" s="7"/>
      <c r="I583" s="7"/>
      <c r="J583" s="7"/>
      <c r="K583" s="7"/>
      <c r="L583" s="7"/>
      <c r="M583" s="7"/>
      <c r="N583" s="7"/>
      <c r="O583" s="7"/>
      <c r="P583" s="7"/>
      <c r="Q583" s="7"/>
      <c r="R583" s="7"/>
      <c r="S583" s="7"/>
      <c r="T583" s="7"/>
      <c r="U583" s="7"/>
      <c r="V583" s="7"/>
      <c r="W583" s="7"/>
    </row>
    <row r="584" spans="1:23" ht="15.75" customHeight="1" x14ac:dyDescent="0.2">
      <c r="A584" s="7"/>
      <c r="B584" s="7"/>
      <c r="C584" s="7"/>
      <c r="D584" s="7"/>
      <c r="E584" s="7"/>
      <c r="F584" s="7"/>
      <c r="G584" s="7"/>
      <c r="H584" s="7"/>
      <c r="I584" s="7"/>
      <c r="J584" s="7"/>
      <c r="K584" s="7"/>
      <c r="L584" s="7"/>
      <c r="M584" s="7"/>
      <c r="N584" s="7"/>
      <c r="O584" s="7"/>
      <c r="P584" s="7"/>
      <c r="Q584" s="7"/>
      <c r="R584" s="7"/>
      <c r="S584" s="7"/>
      <c r="T584" s="7"/>
      <c r="U584" s="7"/>
      <c r="V584" s="7"/>
      <c r="W584" s="7"/>
    </row>
    <row r="585" spans="1:23" ht="15.75" customHeight="1" x14ac:dyDescent="0.2">
      <c r="A585" s="7"/>
      <c r="B585" s="7"/>
      <c r="C585" s="7"/>
      <c r="D585" s="7"/>
      <c r="E585" s="7"/>
      <c r="F585" s="7"/>
      <c r="G585" s="7"/>
      <c r="H585" s="7"/>
      <c r="I585" s="7"/>
      <c r="J585" s="7"/>
      <c r="K585" s="7"/>
      <c r="L585" s="7"/>
      <c r="M585" s="7"/>
      <c r="N585" s="7"/>
      <c r="O585" s="7"/>
      <c r="P585" s="7"/>
      <c r="Q585" s="7"/>
      <c r="R585" s="7"/>
      <c r="S585" s="7"/>
      <c r="T585" s="7"/>
      <c r="U585" s="7"/>
      <c r="V585" s="7"/>
      <c r="W585" s="7"/>
    </row>
    <row r="586" spans="1:23" ht="15.75" customHeight="1" x14ac:dyDescent="0.2">
      <c r="A586" s="7"/>
      <c r="B586" s="7"/>
      <c r="C586" s="7"/>
      <c r="D586" s="7"/>
      <c r="E586" s="7"/>
      <c r="F586" s="7"/>
      <c r="G586" s="7"/>
      <c r="H586" s="7"/>
      <c r="I586" s="7"/>
      <c r="J586" s="7"/>
      <c r="K586" s="7"/>
      <c r="L586" s="7"/>
      <c r="M586" s="7"/>
      <c r="N586" s="7"/>
      <c r="O586" s="7"/>
      <c r="P586" s="7"/>
      <c r="Q586" s="7"/>
      <c r="R586" s="7"/>
      <c r="S586" s="7"/>
      <c r="T586" s="7"/>
      <c r="U586" s="7"/>
      <c r="V586" s="7"/>
      <c r="W586" s="7"/>
    </row>
    <row r="587" spans="1:23" ht="15.75" customHeight="1" x14ac:dyDescent="0.2">
      <c r="A587" s="7"/>
      <c r="B587" s="7"/>
      <c r="C587" s="7"/>
      <c r="D587" s="7"/>
      <c r="E587" s="7"/>
      <c r="F587" s="7"/>
      <c r="G587" s="7"/>
      <c r="H587" s="7"/>
      <c r="I587" s="7"/>
      <c r="J587" s="7"/>
      <c r="K587" s="7"/>
      <c r="L587" s="7"/>
      <c r="M587" s="7"/>
      <c r="N587" s="7"/>
      <c r="O587" s="7"/>
      <c r="P587" s="7"/>
      <c r="Q587" s="7"/>
      <c r="R587" s="7"/>
      <c r="S587" s="7"/>
      <c r="T587" s="7"/>
      <c r="U587" s="7"/>
      <c r="V587" s="7"/>
      <c r="W587" s="7"/>
    </row>
    <row r="588" spans="1:23" ht="15.75" customHeight="1" x14ac:dyDescent="0.2">
      <c r="A588" s="7"/>
      <c r="B588" s="7"/>
      <c r="C588" s="7"/>
      <c r="D588" s="7"/>
      <c r="E588" s="7"/>
      <c r="F588" s="7"/>
      <c r="G588" s="7"/>
      <c r="H588" s="7"/>
      <c r="I588" s="7"/>
      <c r="J588" s="7"/>
      <c r="K588" s="7"/>
      <c r="L588" s="7"/>
      <c r="M588" s="7"/>
      <c r="N588" s="7"/>
      <c r="O588" s="7"/>
      <c r="P588" s="7"/>
      <c r="Q588" s="7"/>
      <c r="R588" s="7"/>
      <c r="S588" s="7"/>
      <c r="T588" s="7"/>
      <c r="U588" s="7"/>
      <c r="V588" s="7"/>
      <c r="W588" s="7"/>
    </row>
    <row r="589" spans="1:23" ht="15.75" customHeight="1" x14ac:dyDescent="0.2">
      <c r="A589" s="7"/>
      <c r="B589" s="7"/>
      <c r="C589" s="7"/>
      <c r="D589" s="7"/>
      <c r="E589" s="7"/>
      <c r="F589" s="7"/>
      <c r="G589" s="7"/>
      <c r="H589" s="7"/>
      <c r="I589" s="7"/>
      <c r="J589" s="7"/>
      <c r="K589" s="7"/>
      <c r="L589" s="7"/>
      <c r="M589" s="7"/>
      <c r="N589" s="7"/>
      <c r="O589" s="7"/>
      <c r="P589" s="7"/>
      <c r="Q589" s="7"/>
      <c r="R589" s="7"/>
      <c r="S589" s="7"/>
      <c r="T589" s="7"/>
      <c r="U589" s="7"/>
      <c r="V589" s="7"/>
      <c r="W589" s="7"/>
    </row>
    <row r="590" spans="1:23" ht="15.75" customHeight="1" x14ac:dyDescent="0.2">
      <c r="A590" s="7"/>
      <c r="B590" s="7"/>
      <c r="C590" s="7"/>
      <c r="D590" s="7"/>
      <c r="E590" s="7"/>
      <c r="F590" s="7"/>
      <c r="G590" s="7"/>
      <c r="H590" s="7"/>
      <c r="I590" s="7"/>
      <c r="J590" s="7"/>
      <c r="K590" s="7"/>
      <c r="L590" s="7"/>
      <c r="M590" s="7"/>
      <c r="N590" s="7"/>
      <c r="O590" s="7"/>
      <c r="P590" s="7"/>
      <c r="Q590" s="7"/>
      <c r="R590" s="7"/>
      <c r="S590" s="7"/>
      <c r="T590" s="7"/>
      <c r="U590" s="7"/>
      <c r="V590" s="7"/>
      <c r="W590" s="7"/>
    </row>
    <row r="591" spans="1:23" ht="15.75" customHeight="1" x14ac:dyDescent="0.2">
      <c r="A591" s="7"/>
      <c r="B591" s="7"/>
      <c r="C591" s="7"/>
      <c r="D591" s="7"/>
      <c r="E591" s="7"/>
      <c r="F591" s="7"/>
      <c r="G591" s="7"/>
      <c r="H591" s="7"/>
      <c r="I591" s="7"/>
      <c r="J591" s="7"/>
      <c r="K591" s="7"/>
      <c r="L591" s="7"/>
      <c r="M591" s="7"/>
      <c r="N591" s="7"/>
      <c r="O591" s="7"/>
      <c r="P591" s="7"/>
      <c r="Q591" s="7"/>
      <c r="R591" s="7"/>
      <c r="S591" s="7"/>
      <c r="T591" s="7"/>
      <c r="U591" s="7"/>
      <c r="V591" s="7"/>
      <c r="W591" s="7"/>
    </row>
    <row r="592" spans="1:23" ht="15.75" customHeight="1" x14ac:dyDescent="0.2">
      <c r="A592" s="7"/>
      <c r="B592" s="7"/>
      <c r="C592" s="7"/>
      <c r="D592" s="7"/>
      <c r="E592" s="7"/>
      <c r="F592" s="7"/>
      <c r="G592" s="7"/>
      <c r="H592" s="7"/>
      <c r="I592" s="7"/>
      <c r="J592" s="7"/>
      <c r="K592" s="7"/>
      <c r="L592" s="7"/>
      <c r="M592" s="7"/>
      <c r="N592" s="7"/>
      <c r="O592" s="7"/>
      <c r="P592" s="7"/>
      <c r="Q592" s="7"/>
      <c r="R592" s="7"/>
      <c r="S592" s="7"/>
      <c r="T592" s="7"/>
      <c r="U592" s="7"/>
      <c r="V592" s="7"/>
      <c r="W592" s="7"/>
    </row>
    <row r="593" spans="1:23" ht="15.75" customHeight="1" x14ac:dyDescent="0.2">
      <c r="A593" s="7"/>
      <c r="B593" s="7"/>
      <c r="C593" s="7"/>
      <c r="D593" s="7"/>
      <c r="E593" s="7"/>
      <c r="F593" s="7"/>
      <c r="G593" s="7"/>
      <c r="H593" s="7"/>
      <c r="I593" s="7"/>
      <c r="J593" s="7"/>
      <c r="K593" s="7"/>
      <c r="L593" s="7"/>
      <c r="M593" s="7"/>
      <c r="N593" s="7"/>
      <c r="O593" s="7"/>
      <c r="P593" s="7"/>
      <c r="Q593" s="7"/>
      <c r="R593" s="7"/>
      <c r="S593" s="7"/>
      <c r="T593" s="7"/>
      <c r="U593" s="7"/>
      <c r="V593" s="7"/>
      <c r="W593" s="7"/>
    </row>
    <row r="594" spans="1:23" ht="15.75" customHeight="1" x14ac:dyDescent="0.2">
      <c r="A594" s="7"/>
      <c r="B594" s="7"/>
      <c r="C594" s="7"/>
      <c r="D594" s="7"/>
      <c r="E594" s="7"/>
      <c r="F594" s="7"/>
      <c r="G594" s="7"/>
      <c r="H594" s="7"/>
      <c r="I594" s="7"/>
      <c r="J594" s="7"/>
      <c r="K594" s="7"/>
      <c r="L594" s="7"/>
      <c r="M594" s="7"/>
      <c r="N594" s="7"/>
      <c r="O594" s="7"/>
      <c r="P594" s="7"/>
      <c r="Q594" s="7"/>
      <c r="R594" s="7"/>
      <c r="S594" s="7"/>
      <c r="T594" s="7"/>
      <c r="U594" s="7"/>
      <c r="V594" s="7"/>
      <c r="W594" s="7"/>
    </row>
    <row r="595" spans="1:23" ht="15.75" customHeight="1" x14ac:dyDescent="0.2">
      <c r="A595" s="7"/>
      <c r="B595" s="7"/>
      <c r="C595" s="7"/>
      <c r="D595" s="7"/>
      <c r="E595" s="7"/>
      <c r="F595" s="7"/>
      <c r="G595" s="7"/>
      <c r="H595" s="7"/>
      <c r="I595" s="7"/>
      <c r="J595" s="7"/>
      <c r="K595" s="7"/>
      <c r="L595" s="7"/>
      <c r="M595" s="7"/>
      <c r="N595" s="7"/>
      <c r="O595" s="7"/>
      <c r="P595" s="7"/>
      <c r="Q595" s="7"/>
      <c r="R595" s="7"/>
      <c r="S595" s="7"/>
      <c r="T595" s="7"/>
      <c r="U595" s="7"/>
      <c r="V595" s="7"/>
      <c r="W595" s="7"/>
    </row>
    <row r="596" spans="1:23" ht="15.75" customHeight="1" x14ac:dyDescent="0.2">
      <c r="A596" s="7"/>
      <c r="B596" s="7"/>
      <c r="C596" s="7"/>
      <c r="D596" s="7"/>
      <c r="E596" s="7"/>
      <c r="F596" s="7"/>
      <c r="G596" s="7"/>
      <c r="H596" s="7"/>
      <c r="I596" s="7"/>
      <c r="J596" s="7"/>
      <c r="K596" s="7"/>
      <c r="L596" s="7"/>
      <c r="M596" s="7"/>
      <c r="N596" s="7"/>
      <c r="O596" s="7"/>
      <c r="P596" s="7"/>
      <c r="Q596" s="7"/>
      <c r="R596" s="7"/>
      <c r="S596" s="7"/>
      <c r="T596" s="7"/>
      <c r="U596" s="7"/>
      <c r="V596" s="7"/>
      <c r="W596" s="7"/>
    </row>
    <row r="597" spans="1:23" ht="15.75" customHeight="1" x14ac:dyDescent="0.2">
      <c r="A597" s="7"/>
      <c r="B597" s="7"/>
      <c r="C597" s="7"/>
      <c r="D597" s="7"/>
      <c r="E597" s="7"/>
      <c r="F597" s="7"/>
      <c r="G597" s="7"/>
      <c r="H597" s="7"/>
      <c r="I597" s="7"/>
      <c r="J597" s="7"/>
      <c r="K597" s="7"/>
      <c r="L597" s="7"/>
      <c r="M597" s="7"/>
      <c r="N597" s="7"/>
      <c r="O597" s="7"/>
      <c r="P597" s="7"/>
      <c r="Q597" s="7"/>
      <c r="R597" s="7"/>
      <c r="S597" s="7"/>
      <c r="T597" s="7"/>
      <c r="U597" s="7"/>
      <c r="V597" s="7"/>
      <c r="W597" s="7"/>
    </row>
    <row r="598" spans="1:23" ht="15.75" customHeight="1" x14ac:dyDescent="0.2">
      <c r="A598" s="7"/>
      <c r="B598" s="7"/>
      <c r="C598" s="7"/>
      <c r="D598" s="7"/>
      <c r="E598" s="7"/>
      <c r="F598" s="7"/>
      <c r="G598" s="7"/>
      <c r="H598" s="7"/>
      <c r="I598" s="7"/>
      <c r="J598" s="7"/>
      <c r="K598" s="7"/>
      <c r="L598" s="7"/>
      <c r="M598" s="7"/>
      <c r="N598" s="7"/>
      <c r="O598" s="7"/>
      <c r="P598" s="7"/>
      <c r="Q598" s="7"/>
      <c r="R598" s="7"/>
      <c r="S598" s="7"/>
      <c r="T598" s="7"/>
      <c r="U598" s="7"/>
      <c r="V598" s="7"/>
      <c r="W598" s="7"/>
    </row>
    <row r="599" spans="1:23" ht="15.75" customHeight="1" x14ac:dyDescent="0.2">
      <c r="A599" s="7"/>
      <c r="B599" s="7"/>
      <c r="C599" s="7"/>
      <c r="D599" s="7"/>
      <c r="E599" s="7"/>
      <c r="F599" s="7"/>
      <c r="G599" s="7"/>
      <c r="H599" s="7"/>
      <c r="I599" s="7"/>
      <c r="J599" s="7"/>
      <c r="K599" s="7"/>
      <c r="L599" s="7"/>
      <c r="M599" s="7"/>
      <c r="N599" s="7"/>
      <c r="O599" s="7"/>
      <c r="P599" s="7"/>
      <c r="Q599" s="7"/>
      <c r="R599" s="7"/>
      <c r="S599" s="7"/>
      <c r="T599" s="7"/>
      <c r="U599" s="7"/>
      <c r="V599" s="7"/>
      <c r="W599" s="7"/>
    </row>
    <row r="600" spans="1:23" ht="15.75" customHeight="1" x14ac:dyDescent="0.2">
      <c r="A600" s="7"/>
      <c r="B600" s="7"/>
      <c r="C600" s="7"/>
      <c r="D600" s="7"/>
      <c r="E600" s="7"/>
      <c r="F600" s="7"/>
      <c r="G600" s="7"/>
      <c r="H600" s="7"/>
      <c r="I600" s="7"/>
      <c r="J600" s="7"/>
      <c r="K600" s="7"/>
      <c r="L600" s="7"/>
      <c r="M600" s="7"/>
      <c r="N600" s="7"/>
      <c r="O600" s="7"/>
      <c r="P600" s="7"/>
      <c r="Q600" s="7"/>
      <c r="R600" s="7"/>
      <c r="S600" s="7"/>
      <c r="T600" s="7"/>
      <c r="U600" s="7"/>
      <c r="V600" s="7"/>
      <c r="W600" s="7"/>
    </row>
    <row r="601" spans="1:23" ht="15.75" customHeight="1" x14ac:dyDescent="0.2">
      <c r="A601" s="7"/>
      <c r="B601" s="7"/>
      <c r="C601" s="7"/>
      <c r="D601" s="7"/>
      <c r="E601" s="7"/>
      <c r="F601" s="7"/>
      <c r="G601" s="7"/>
      <c r="H601" s="7"/>
      <c r="I601" s="7"/>
      <c r="J601" s="7"/>
      <c r="K601" s="7"/>
      <c r="L601" s="7"/>
      <c r="M601" s="7"/>
      <c r="N601" s="7"/>
      <c r="O601" s="7"/>
      <c r="P601" s="7"/>
      <c r="Q601" s="7"/>
      <c r="R601" s="7"/>
      <c r="S601" s="7"/>
      <c r="T601" s="7"/>
      <c r="U601" s="7"/>
      <c r="V601" s="7"/>
      <c r="W601" s="7"/>
    </row>
    <row r="602" spans="1:23" ht="15.75" customHeight="1" x14ac:dyDescent="0.2">
      <c r="A602" s="7"/>
      <c r="B602" s="7"/>
      <c r="C602" s="7"/>
      <c r="D602" s="7"/>
      <c r="E602" s="7"/>
      <c r="F602" s="7"/>
      <c r="G602" s="7"/>
      <c r="H602" s="7"/>
      <c r="I602" s="7"/>
      <c r="J602" s="7"/>
      <c r="K602" s="7"/>
      <c r="L602" s="7"/>
      <c r="M602" s="7"/>
      <c r="N602" s="7"/>
      <c r="O602" s="7"/>
      <c r="P602" s="7"/>
      <c r="Q602" s="7"/>
      <c r="R602" s="7"/>
      <c r="S602" s="7"/>
      <c r="T602" s="7"/>
      <c r="U602" s="7"/>
      <c r="V602" s="7"/>
      <c r="W602" s="7"/>
    </row>
    <row r="603" spans="1:23" ht="15.75" customHeight="1" x14ac:dyDescent="0.2">
      <c r="A603" s="7"/>
      <c r="B603" s="7"/>
      <c r="C603" s="7"/>
      <c r="D603" s="7"/>
      <c r="E603" s="7"/>
      <c r="F603" s="7"/>
      <c r="G603" s="7"/>
      <c r="H603" s="7"/>
      <c r="I603" s="7"/>
      <c r="J603" s="7"/>
      <c r="K603" s="7"/>
      <c r="L603" s="7"/>
      <c r="M603" s="7"/>
      <c r="N603" s="7"/>
      <c r="O603" s="7"/>
      <c r="P603" s="7"/>
      <c r="Q603" s="7"/>
      <c r="R603" s="7"/>
      <c r="S603" s="7"/>
      <c r="T603" s="7"/>
      <c r="U603" s="7"/>
      <c r="V603" s="7"/>
      <c r="W603" s="7"/>
    </row>
    <row r="604" spans="1:23" ht="15.75" customHeight="1" x14ac:dyDescent="0.2">
      <c r="A604" s="7"/>
      <c r="B604" s="7"/>
      <c r="C604" s="7"/>
      <c r="D604" s="7"/>
      <c r="E604" s="7"/>
      <c r="F604" s="7"/>
      <c r="G604" s="7"/>
      <c r="H604" s="7"/>
      <c r="I604" s="7"/>
      <c r="J604" s="7"/>
      <c r="K604" s="7"/>
      <c r="L604" s="7"/>
      <c r="M604" s="7"/>
      <c r="N604" s="7"/>
      <c r="O604" s="7"/>
      <c r="P604" s="7"/>
      <c r="Q604" s="7"/>
      <c r="R604" s="7"/>
      <c r="S604" s="7"/>
      <c r="T604" s="7"/>
      <c r="U604" s="7"/>
      <c r="V604" s="7"/>
      <c r="W604" s="7"/>
    </row>
    <row r="605" spans="1:23" ht="15.75" customHeight="1" x14ac:dyDescent="0.2">
      <c r="A605" s="7"/>
      <c r="B605" s="7"/>
      <c r="C605" s="7"/>
      <c r="D605" s="7"/>
      <c r="E605" s="7"/>
      <c r="F605" s="7"/>
      <c r="G605" s="7"/>
      <c r="H605" s="7"/>
      <c r="I605" s="7"/>
      <c r="J605" s="7"/>
      <c r="K605" s="7"/>
      <c r="L605" s="7"/>
      <c r="M605" s="7"/>
      <c r="N605" s="7"/>
      <c r="O605" s="7"/>
      <c r="P605" s="7"/>
      <c r="Q605" s="7"/>
      <c r="R605" s="7"/>
      <c r="S605" s="7"/>
      <c r="T605" s="7"/>
      <c r="U605" s="7"/>
      <c r="V605" s="7"/>
      <c r="W605" s="7"/>
    </row>
    <row r="606" spans="1:23" ht="15.75" customHeight="1" x14ac:dyDescent="0.2">
      <c r="A606" s="7"/>
      <c r="B606" s="7"/>
      <c r="C606" s="7"/>
      <c r="D606" s="7"/>
      <c r="E606" s="7"/>
      <c r="F606" s="7"/>
      <c r="G606" s="7"/>
      <c r="H606" s="7"/>
      <c r="I606" s="7"/>
      <c r="J606" s="7"/>
      <c r="K606" s="7"/>
      <c r="L606" s="7"/>
      <c r="M606" s="7"/>
      <c r="N606" s="7"/>
      <c r="O606" s="7"/>
      <c r="P606" s="7"/>
      <c r="Q606" s="7"/>
      <c r="R606" s="7"/>
      <c r="S606" s="7"/>
      <c r="T606" s="7"/>
      <c r="U606" s="7"/>
      <c r="V606" s="7"/>
      <c r="W606" s="7"/>
    </row>
    <row r="607" spans="1:23" ht="15.75" customHeight="1" x14ac:dyDescent="0.2">
      <c r="A607" s="7"/>
      <c r="B607" s="7"/>
      <c r="C607" s="7"/>
      <c r="D607" s="7"/>
      <c r="E607" s="7"/>
      <c r="F607" s="7"/>
      <c r="G607" s="7"/>
      <c r="H607" s="7"/>
      <c r="I607" s="7"/>
      <c r="J607" s="7"/>
      <c r="K607" s="7"/>
      <c r="L607" s="7"/>
      <c r="M607" s="7"/>
      <c r="N607" s="7"/>
      <c r="O607" s="7"/>
      <c r="P607" s="7"/>
      <c r="Q607" s="7"/>
      <c r="R607" s="7"/>
      <c r="S607" s="7"/>
      <c r="T607" s="7"/>
      <c r="U607" s="7"/>
      <c r="V607" s="7"/>
      <c r="W607" s="7"/>
    </row>
    <row r="608" spans="1:23" ht="15.75" customHeight="1" x14ac:dyDescent="0.2">
      <c r="A608" s="7"/>
      <c r="B608" s="7"/>
      <c r="C608" s="7"/>
      <c r="D608" s="7"/>
      <c r="E608" s="7"/>
      <c r="F608" s="7"/>
      <c r="G608" s="7"/>
      <c r="H608" s="7"/>
      <c r="I608" s="7"/>
      <c r="J608" s="7"/>
      <c r="K608" s="7"/>
      <c r="L608" s="7"/>
      <c r="M608" s="7"/>
      <c r="N608" s="7"/>
      <c r="O608" s="7"/>
      <c r="P608" s="7"/>
      <c r="Q608" s="7"/>
      <c r="R608" s="7"/>
      <c r="S608" s="7"/>
      <c r="T608" s="7"/>
      <c r="U608" s="7"/>
      <c r="V608" s="7"/>
      <c r="W608" s="7"/>
    </row>
    <row r="609" spans="1:23" ht="15.75" customHeight="1" x14ac:dyDescent="0.2">
      <c r="A609" s="7"/>
      <c r="B609" s="7"/>
      <c r="C609" s="7"/>
      <c r="D609" s="7"/>
      <c r="E609" s="7"/>
      <c r="F609" s="7"/>
      <c r="G609" s="7"/>
      <c r="H609" s="7"/>
      <c r="I609" s="7"/>
      <c r="J609" s="7"/>
      <c r="K609" s="7"/>
      <c r="L609" s="7"/>
      <c r="M609" s="7"/>
      <c r="N609" s="7"/>
      <c r="O609" s="7"/>
      <c r="P609" s="7"/>
      <c r="Q609" s="7"/>
      <c r="R609" s="7"/>
      <c r="S609" s="7"/>
      <c r="T609" s="7"/>
      <c r="U609" s="7"/>
      <c r="V609" s="7"/>
      <c r="W609" s="7"/>
    </row>
    <row r="610" spans="1:23" ht="15.75" customHeight="1" x14ac:dyDescent="0.2">
      <c r="A610" s="7"/>
      <c r="B610" s="7"/>
      <c r="C610" s="7"/>
      <c r="D610" s="7"/>
      <c r="E610" s="7"/>
      <c r="F610" s="7"/>
      <c r="G610" s="7"/>
      <c r="H610" s="7"/>
      <c r="I610" s="7"/>
      <c r="J610" s="7"/>
      <c r="K610" s="7"/>
      <c r="L610" s="7"/>
      <c r="M610" s="7"/>
      <c r="N610" s="7"/>
      <c r="O610" s="7"/>
      <c r="P610" s="7"/>
      <c r="Q610" s="7"/>
      <c r="R610" s="7"/>
      <c r="S610" s="7"/>
      <c r="T610" s="7"/>
      <c r="U610" s="7"/>
      <c r="V610" s="7"/>
      <c r="W610" s="7"/>
    </row>
    <row r="611" spans="1:23" ht="15.75" customHeight="1" x14ac:dyDescent="0.2">
      <c r="A611" s="7"/>
      <c r="B611" s="7"/>
      <c r="C611" s="7"/>
      <c r="D611" s="7"/>
      <c r="E611" s="7"/>
      <c r="F611" s="7"/>
      <c r="G611" s="7"/>
      <c r="H611" s="7"/>
      <c r="I611" s="7"/>
      <c r="J611" s="7"/>
      <c r="K611" s="7"/>
      <c r="L611" s="7"/>
      <c r="M611" s="7"/>
      <c r="N611" s="7"/>
      <c r="O611" s="7"/>
      <c r="P611" s="7"/>
      <c r="Q611" s="7"/>
      <c r="R611" s="7"/>
      <c r="S611" s="7"/>
      <c r="T611" s="7"/>
      <c r="U611" s="7"/>
      <c r="V611" s="7"/>
      <c r="W611" s="7"/>
    </row>
    <row r="612" spans="1:23" ht="15.75" customHeight="1" x14ac:dyDescent="0.2">
      <c r="A612" s="7"/>
      <c r="B612" s="7"/>
      <c r="C612" s="7"/>
      <c r="D612" s="7"/>
      <c r="E612" s="7"/>
      <c r="F612" s="7"/>
      <c r="G612" s="7"/>
      <c r="H612" s="7"/>
      <c r="I612" s="7"/>
      <c r="J612" s="7"/>
      <c r="K612" s="7"/>
      <c r="L612" s="7"/>
      <c r="M612" s="7"/>
      <c r="N612" s="7"/>
      <c r="O612" s="7"/>
      <c r="P612" s="7"/>
      <c r="Q612" s="7"/>
      <c r="R612" s="7"/>
      <c r="S612" s="7"/>
      <c r="T612" s="7"/>
      <c r="U612" s="7"/>
      <c r="V612" s="7"/>
      <c r="W612" s="7"/>
    </row>
    <row r="613" spans="1:23" ht="15.75" customHeight="1" x14ac:dyDescent="0.2">
      <c r="A613" s="7"/>
      <c r="B613" s="7"/>
      <c r="C613" s="7"/>
      <c r="D613" s="7"/>
      <c r="E613" s="7"/>
      <c r="F613" s="7"/>
      <c r="G613" s="7"/>
      <c r="H613" s="7"/>
      <c r="I613" s="7"/>
      <c r="J613" s="7"/>
      <c r="K613" s="7"/>
      <c r="L613" s="7"/>
      <c r="M613" s="7"/>
      <c r="N613" s="7"/>
      <c r="O613" s="7"/>
      <c r="P613" s="7"/>
      <c r="Q613" s="7"/>
      <c r="R613" s="7"/>
      <c r="S613" s="7"/>
      <c r="T613" s="7"/>
      <c r="U613" s="7"/>
      <c r="V613" s="7"/>
      <c r="W613" s="7"/>
    </row>
    <row r="614" spans="1:23" ht="15.75" customHeight="1" x14ac:dyDescent="0.2">
      <c r="A614" s="7"/>
      <c r="B614" s="7"/>
      <c r="C614" s="7"/>
      <c r="D614" s="7"/>
      <c r="E614" s="7"/>
      <c r="F614" s="7"/>
      <c r="G614" s="7"/>
      <c r="H614" s="7"/>
      <c r="I614" s="7"/>
      <c r="J614" s="7"/>
      <c r="K614" s="7"/>
      <c r="L614" s="7"/>
      <c r="M614" s="7"/>
      <c r="N614" s="7"/>
      <c r="O614" s="7"/>
      <c r="P614" s="7"/>
      <c r="Q614" s="7"/>
      <c r="R614" s="7"/>
      <c r="S614" s="7"/>
      <c r="T614" s="7"/>
      <c r="U614" s="7"/>
      <c r="V614" s="7"/>
      <c r="W614" s="7"/>
    </row>
    <row r="615" spans="1:23" ht="15.75" customHeight="1" x14ac:dyDescent="0.2">
      <c r="A615" s="7"/>
      <c r="B615" s="7"/>
      <c r="C615" s="7"/>
      <c r="D615" s="7"/>
      <c r="E615" s="7"/>
      <c r="F615" s="7"/>
      <c r="G615" s="7"/>
      <c r="H615" s="7"/>
      <c r="I615" s="7"/>
      <c r="J615" s="7"/>
      <c r="K615" s="7"/>
      <c r="L615" s="7"/>
      <c r="M615" s="7"/>
      <c r="N615" s="7"/>
      <c r="O615" s="7"/>
      <c r="P615" s="7"/>
      <c r="Q615" s="7"/>
      <c r="R615" s="7"/>
      <c r="S615" s="7"/>
      <c r="T615" s="7"/>
      <c r="U615" s="7"/>
      <c r="V615" s="7"/>
      <c r="W615" s="7"/>
    </row>
    <row r="616" spans="1:23" ht="15.75" customHeight="1" x14ac:dyDescent="0.2">
      <c r="A616" s="7"/>
      <c r="B616" s="7"/>
      <c r="C616" s="7"/>
      <c r="D616" s="7"/>
      <c r="E616" s="7"/>
      <c r="F616" s="7"/>
      <c r="G616" s="7"/>
      <c r="H616" s="7"/>
      <c r="I616" s="7"/>
      <c r="J616" s="7"/>
      <c r="K616" s="7"/>
      <c r="L616" s="7"/>
      <c r="M616" s="7"/>
      <c r="N616" s="7"/>
      <c r="O616" s="7"/>
      <c r="P616" s="7"/>
      <c r="Q616" s="7"/>
      <c r="R616" s="7"/>
      <c r="S616" s="7"/>
      <c r="T616" s="7"/>
      <c r="U616" s="7"/>
      <c r="V616" s="7"/>
      <c r="W616" s="7"/>
    </row>
    <row r="617" spans="1:23" ht="15.75" customHeight="1" x14ac:dyDescent="0.2">
      <c r="A617" s="7"/>
      <c r="B617" s="7"/>
      <c r="C617" s="7"/>
      <c r="D617" s="7"/>
      <c r="E617" s="7"/>
      <c r="F617" s="7"/>
      <c r="G617" s="7"/>
      <c r="H617" s="7"/>
      <c r="I617" s="7"/>
      <c r="J617" s="7"/>
      <c r="K617" s="7"/>
      <c r="L617" s="7"/>
      <c r="M617" s="7"/>
      <c r="N617" s="7"/>
      <c r="O617" s="7"/>
      <c r="P617" s="7"/>
      <c r="Q617" s="7"/>
      <c r="R617" s="7"/>
      <c r="S617" s="7"/>
      <c r="T617" s="7"/>
      <c r="U617" s="7"/>
      <c r="V617" s="7"/>
      <c r="W617" s="7"/>
    </row>
    <row r="618" spans="1:23" ht="15.75" customHeight="1" x14ac:dyDescent="0.2">
      <c r="A618" s="7"/>
      <c r="B618" s="7"/>
      <c r="C618" s="7"/>
      <c r="D618" s="7"/>
      <c r="E618" s="7"/>
      <c r="F618" s="7"/>
      <c r="G618" s="7"/>
      <c r="H618" s="7"/>
      <c r="I618" s="7"/>
      <c r="J618" s="7"/>
      <c r="K618" s="7"/>
      <c r="L618" s="7"/>
      <c r="M618" s="7"/>
      <c r="N618" s="7"/>
      <c r="O618" s="7"/>
      <c r="P618" s="7"/>
      <c r="Q618" s="7"/>
      <c r="R618" s="7"/>
      <c r="S618" s="7"/>
      <c r="T618" s="7"/>
      <c r="U618" s="7"/>
      <c r="V618" s="7"/>
      <c r="W618" s="7"/>
    </row>
    <row r="619" spans="1:23" ht="15.75" customHeight="1" x14ac:dyDescent="0.2">
      <c r="A619" s="7"/>
      <c r="B619" s="7"/>
      <c r="C619" s="7"/>
      <c r="D619" s="7"/>
      <c r="E619" s="7"/>
      <c r="F619" s="7"/>
      <c r="G619" s="7"/>
      <c r="H619" s="7"/>
      <c r="I619" s="7"/>
      <c r="J619" s="7"/>
      <c r="K619" s="7"/>
      <c r="L619" s="7"/>
      <c r="M619" s="7"/>
      <c r="N619" s="7"/>
      <c r="O619" s="7"/>
      <c r="P619" s="7"/>
      <c r="Q619" s="7"/>
      <c r="R619" s="7"/>
      <c r="S619" s="7"/>
      <c r="T619" s="7"/>
      <c r="U619" s="7"/>
      <c r="V619" s="7"/>
      <c r="W619" s="7"/>
    </row>
    <row r="620" spans="1:23" ht="15.75" customHeight="1" x14ac:dyDescent="0.2">
      <c r="A620" s="7"/>
      <c r="B620" s="7"/>
      <c r="C620" s="7"/>
      <c r="D620" s="7"/>
      <c r="E620" s="7"/>
      <c r="F620" s="7"/>
      <c r="G620" s="7"/>
      <c r="H620" s="7"/>
      <c r="I620" s="7"/>
      <c r="J620" s="7"/>
      <c r="K620" s="7"/>
      <c r="L620" s="7"/>
      <c r="M620" s="7"/>
      <c r="N620" s="7"/>
      <c r="O620" s="7"/>
      <c r="P620" s="7"/>
      <c r="Q620" s="7"/>
      <c r="R620" s="7"/>
      <c r="S620" s="7"/>
      <c r="T620" s="7"/>
      <c r="U620" s="7"/>
      <c r="V620" s="7"/>
      <c r="W620" s="7"/>
    </row>
    <row r="621" spans="1:23" ht="15.75" customHeight="1" x14ac:dyDescent="0.2">
      <c r="A621" s="7"/>
      <c r="B621" s="7"/>
      <c r="C621" s="7"/>
      <c r="D621" s="7"/>
      <c r="E621" s="7"/>
      <c r="F621" s="7"/>
      <c r="G621" s="7"/>
      <c r="H621" s="7"/>
      <c r="I621" s="7"/>
      <c r="J621" s="7"/>
      <c r="K621" s="7"/>
      <c r="L621" s="7"/>
      <c r="M621" s="7"/>
      <c r="N621" s="7"/>
      <c r="O621" s="7"/>
      <c r="P621" s="7"/>
      <c r="Q621" s="7"/>
      <c r="R621" s="7"/>
      <c r="S621" s="7"/>
      <c r="T621" s="7"/>
      <c r="U621" s="7"/>
      <c r="V621" s="7"/>
      <c r="W621" s="7"/>
    </row>
    <row r="622" spans="1:23" ht="15.75" customHeight="1" x14ac:dyDescent="0.2">
      <c r="A622" s="7"/>
      <c r="B622" s="7"/>
      <c r="C622" s="7"/>
      <c r="D622" s="7"/>
      <c r="E622" s="7"/>
      <c r="F622" s="7"/>
      <c r="G622" s="7"/>
      <c r="H622" s="7"/>
      <c r="I622" s="7"/>
      <c r="J622" s="7"/>
      <c r="K622" s="7"/>
      <c r="L622" s="7"/>
      <c r="M622" s="7"/>
      <c r="N622" s="7"/>
      <c r="O622" s="7"/>
      <c r="P622" s="7"/>
      <c r="Q622" s="7"/>
      <c r="R622" s="7"/>
      <c r="S622" s="7"/>
      <c r="T622" s="7"/>
      <c r="U622" s="7"/>
      <c r="V622" s="7"/>
      <c r="W622" s="7"/>
    </row>
    <row r="623" spans="1:23" ht="15.75" customHeight="1" x14ac:dyDescent="0.2">
      <c r="A623" s="7"/>
      <c r="B623" s="7"/>
      <c r="C623" s="7"/>
      <c r="D623" s="7"/>
      <c r="E623" s="7"/>
      <c r="F623" s="7"/>
      <c r="G623" s="7"/>
      <c r="H623" s="7"/>
      <c r="I623" s="7"/>
      <c r="J623" s="7"/>
      <c r="K623" s="7"/>
      <c r="L623" s="7"/>
      <c r="M623" s="7"/>
      <c r="N623" s="7"/>
      <c r="O623" s="7"/>
      <c r="P623" s="7"/>
      <c r="Q623" s="7"/>
      <c r="R623" s="7"/>
      <c r="S623" s="7"/>
      <c r="T623" s="7"/>
      <c r="U623" s="7"/>
      <c r="V623" s="7"/>
      <c r="W623" s="7"/>
    </row>
    <row r="624" spans="1:23" ht="15.75" customHeight="1" x14ac:dyDescent="0.2">
      <c r="A624" s="7"/>
      <c r="B624" s="7"/>
      <c r="C624" s="7"/>
      <c r="D624" s="7"/>
      <c r="E624" s="7"/>
      <c r="F624" s="7"/>
      <c r="G624" s="7"/>
      <c r="H624" s="7"/>
      <c r="I624" s="7"/>
      <c r="J624" s="7"/>
      <c r="K624" s="7"/>
      <c r="L624" s="7"/>
      <c r="M624" s="7"/>
      <c r="N624" s="7"/>
      <c r="O624" s="7"/>
      <c r="P624" s="7"/>
      <c r="Q624" s="7"/>
      <c r="R624" s="7"/>
      <c r="S624" s="7"/>
      <c r="T624" s="7"/>
      <c r="U624" s="7"/>
      <c r="V624" s="7"/>
      <c r="W624" s="7"/>
    </row>
    <row r="625" spans="1:23" ht="15.75" customHeight="1" x14ac:dyDescent="0.2">
      <c r="A625" s="7"/>
      <c r="B625" s="7"/>
      <c r="C625" s="7"/>
      <c r="D625" s="7"/>
      <c r="E625" s="7"/>
      <c r="F625" s="7"/>
      <c r="G625" s="7"/>
      <c r="H625" s="7"/>
      <c r="I625" s="7"/>
      <c r="J625" s="7"/>
      <c r="K625" s="7"/>
      <c r="L625" s="7"/>
      <c r="M625" s="7"/>
      <c r="N625" s="7"/>
      <c r="O625" s="7"/>
      <c r="P625" s="7"/>
      <c r="Q625" s="7"/>
      <c r="R625" s="7"/>
      <c r="S625" s="7"/>
      <c r="T625" s="7"/>
      <c r="U625" s="7"/>
      <c r="V625" s="7"/>
      <c r="W625" s="7"/>
    </row>
    <row r="626" spans="1:23" ht="15.75" customHeight="1" x14ac:dyDescent="0.2">
      <c r="A626" s="7"/>
      <c r="B626" s="7"/>
      <c r="C626" s="7"/>
      <c r="D626" s="7"/>
      <c r="E626" s="7"/>
      <c r="F626" s="7"/>
      <c r="G626" s="7"/>
      <c r="H626" s="7"/>
      <c r="I626" s="7"/>
      <c r="J626" s="7"/>
      <c r="K626" s="7"/>
      <c r="L626" s="7"/>
      <c r="M626" s="7"/>
      <c r="N626" s="7"/>
      <c r="O626" s="7"/>
      <c r="P626" s="7"/>
      <c r="Q626" s="7"/>
      <c r="R626" s="7"/>
      <c r="S626" s="7"/>
      <c r="T626" s="7"/>
      <c r="U626" s="7"/>
      <c r="V626" s="7"/>
      <c r="W626" s="7"/>
    </row>
    <row r="627" spans="1:23" ht="15.75" customHeight="1" x14ac:dyDescent="0.2">
      <c r="A627" s="7"/>
      <c r="B627" s="7"/>
      <c r="C627" s="7"/>
      <c r="D627" s="7"/>
      <c r="E627" s="7"/>
      <c r="F627" s="7"/>
      <c r="G627" s="7"/>
      <c r="H627" s="7"/>
      <c r="I627" s="7"/>
      <c r="J627" s="7"/>
      <c r="K627" s="7"/>
      <c r="L627" s="7"/>
      <c r="M627" s="7"/>
      <c r="N627" s="7"/>
      <c r="O627" s="7"/>
      <c r="P627" s="7"/>
      <c r="Q627" s="7"/>
      <c r="R627" s="7"/>
      <c r="S627" s="7"/>
      <c r="T627" s="7"/>
      <c r="U627" s="7"/>
      <c r="V627" s="7"/>
      <c r="W627" s="7"/>
    </row>
    <row r="628" spans="1:23" ht="15.75" customHeight="1" x14ac:dyDescent="0.2">
      <c r="A628" s="7"/>
      <c r="B628" s="7"/>
      <c r="C628" s="7"/>
      <c r="D628" s="7"/>
      <c r="E628" s="7"/>
      <c r="F628" s="7"/>
      <c r="G628" s="7"/>
      <c r="H628" s="7"/>
      <c r="I628" s="7"/>
      <c r="J628" s="7"/>
      <c r="K628" s="7"/>
      <c r="L628" s="7"/>
      <c r="M628" s="7"/>
      <c r="N628" s="7"/>
      <c r="O628" s="7"/>
      <c r="P628" s="7"/>
      <c r="Q628" s="7"/>
      <c r="R628" s="7"/>
      <c r="S628" s="7"/>
      <c r="T628" s="7"/>
      <c r="U628" s="7"/>
      <c r="V628" s="7"/>
      <c r="W628" s="7"/>
    </row>
    <row r="629" spans="1:23" ht="15.75" customHeight="1" x14ac:dyDescent="0.2">
      <c r="A629" s="7"/>
      <c r="B629" s="7"/>
      <c r="C629" s="7"/>
      <c r="D629" s="7"/>
      <c r="E629" s="7"/>
      <c r="F629" s="7"/>
      <c r="G629" s="7"/>
      <c r="H629" s="7"/>
      <c r="I629" s="7"/>
      <c r="J629" s="7"/>
      <c r="K629" s="7"/>
      <c r="L629" s="7"/>
      <c r="M629" s="7"/>
      <c r="N629" s="7"/>
      <c r="O629" s="7"/>
      <c r="P629" s="7"/>
      <c r="Q629" s="7"/>
      <c r="R629" s="7"/>
      <c r="S629" s="7"/>
      <c r="T629" s="7"/>
      <c r="U629" s="7"/>
      <c r="V629" s="7"/>
      <c r="W629" s="7"/>
    </row>
    <row r="630" spans="1:23" ht="15.75" customHeight="1" x14ac:dyDescent="0.2">
      <c r="A630" s="7"/>
      <c r="B630" s="7"/>
      <c r="C630" s="7"/>
      <c r="D630" s="7"/>
      <c r="E630" s="7"/>
      <c r="F630" s="7"/>
      <c r="G630" s="7"/>
      <c r="H630" s="7"/>
      <c r="I630" s="7"/>
      <c r="J630" s="7"/>
      <c r="K630" s="7"/>
      <c r="L630" s="7"/>
      <c r="M630" s="7"/>
      <c r="N630" s="7"/>
      <c r="O630" s="7"/>
      <c r="P630" s="7"/>
      <c r="Q630" s="7"/>
      <c r="R630" s="7"/>
      <c r="S630" s="7"/>
      <c r="T630" s="7"/>
      <c r="U630" s="7"/>
      <c r="V630" s="7"/>
      <c r="W630" s="7"/>
    </row>
    <row r="631" spans="1:23" ht="15.75" customHeight="1" x14ac:dyDescent="0.2">
      <c r="A631" s="7"/>
      <c r="B631" s="7"/>
      <c r="C631" s="7"/>
      <c r="D631" s="7"/>
      <c r="E631" s="7"/>
      <c r="F631" s="7"/>
      <c r="G631" s="7"/>
      <c r="H631" s="7"/>
      <c r="I631" s="7"/>
      <c r="J631" s="7"/>
      <c r="K631" s="7"/>
      <c r="L631" s="7"/>
      <c r="M631" s="7"/>
      <c r="N631" s="7"/>
      <c r="O631" s="7"/>
      <c r="P631" s="7"/>
      <c r="Q631" s="7"/>
      <c r="R631" s="7"/>
      <c r="S631" s="7"/>
      <c r="T631" s="7"/>
      <c r="U631" s="7"/>
      <c r="V631" s="7"/>
      <c r="W631" s="7"/>
    </row>
    <row r="632" spans="1:23" ht="15.75" customHeight="1" x14ac:dyDescent="0.2">
      <c r="A632" s="7"/>
      <c r="B632" s="7"/>
      <c r="C632" s="7"/>
      <c r="D632" s="7"/>
      <c r="E632" s="7"/>
      <c r="F632" s="7"/>
      <c r="G632" s="7"/>
      <c r="H632" s="7"/>
      <c r="I632" s="7"/>
      <c r="J632" s="7"/>
      <c r="K632" s="7"/>
      <c r="L632" s="7"/>
      <c r="M632" s="7"/>
      <c r="N632" s="7"/>
      <c r="O632" s="7"/>
      <c r="P632" s="7"/>
      <c r="Q632" s="7"/>
      <c r="R632" s="7"/>
      <c r="S632" s="7"/>
      <c r="T632" s="7"/>
      <c r="U632" s="7"/>
      <c r="V632" s="7"/>
      <c r="W632" s="7"/>
    </row>
    <row r="633" spans="1:23" ht="15.75" customHeight="1" x14ac:dyDescent="0.2">
      <c r="A633" s="7"/>
      <c r="B633" s="7"/>
      <c r="C633" s="7"/>
      <c r="D633" s="7"/>
      <c r="E633" s="7"/>
      <c r="F633" s="7"/>
      <c r="G633" s="7"/>
      <c r="H633" s="7"/>
      <c r="I633" s="7"/>
      <c r="J633" s="7"/>
      <c r="K633" s="7"/>
      <c r="L633" s="7"/>
      <c r="M633" s="7"/>
      <c r="N633" s="7"/>
      <c r="O633" s="7"/>
      <c r="P633" s="7"/>
      <c r="Q633" s="7"/>
      <c r="R633" s="7"/>
      <c r="S633" s="7"/>
      <c r="T633" s="7"/>
      <c r="U633" s="7"/>
      <c r="V633" s="7"/>
      <c r="W633" s="7"/>
    </row>
    <row r="634" spans="1:23" ht="15.75" customHeight="1" x14ac:dyDescent="0.2">
      <c r="A634" s="7"/>
      <c r="B634" s="7"/>
      <c r="C634" s="7"/>
      <c r="D634" s="7"/>
      <c r="E634" s="7"/>
      <c r="F634" s="7"/>
      <c r="G634" s="7"/>
      <c r="H634" s="7"/>
      <c r="I634" s="7"/>
      <c r="J634" s="7"/>
      <c r="K634" s="7"/>
      <c r="L634" s="7"/>
      <c r="M634" s="7"/>
      <c r="N634" s="7"/>
      <c r="O634" s="7"/>
      <c r="P634" s="7"/>
      <c r="Q634" s="7"/>
      <c r="R634" s="7"/>
      <c r="S634" s="7"/>
      <c r="T634" s="7"/>
      <c r="U634" s="7"/>
      <c r="V634" s="7"/>
      <c r="W634" s="7"/>
    </row>
    <row r="635" spans="1:23" ht="15.75" customHeight="1" x14ac:dyDescent="0.2">
      <c r="A635" s="7"/>
      <c r="B635" s="7"/>
      <c r="C635" s="7"/>
      <c r="D635" s="7"/>
      <c r="E635" s="7"/>
      <c r="F635" s="7"/>
      <c r="G635" s="7"/>
      <c r="H635" s="7"/>
      <c r="I635" s="7"/>
      <c r="J635" s="7"/>
      <c r="K635" s="7"/>
      <c r="L635" s="7"/>
      <c r="M635" s="7"/>
      <c r="N635" s="7"/>
      <c r="O635" s="7"/>
      <c r="P635" s="7"/>
      <c r="Q635" s="7"/>
      <c r="R635" s="7"/>
      <c r="S635" s="7"/>
      <c r="T635" s="7"/>
      <c r="U635" s="7"/>
      <c r="V635" s="7"/>
      <c r="W635" s="7"/>
    </row>
    <row r="636" spans="1:23" ht="15.75" customHeight="1" x14ac:dyDescent="0.2">
      <c r="A636" s="7"/>
      <c r="B636" s="7"/>
      <c r="C636" s="7"/>
      <c r="D636" s="7"/>
      <c r="E636" s="7"/>
      <c r="F636" s="7"/>
      <c r="G636" s="7"/>
      <c r="H636" s="7"/>
      <c r="I636" s="7"/>
      <c r="J636" s="7"/>
      <c r="K636" s="7"/>
      <c r="L636" s="7"/>
      <c r="M636" s="7"/>
      <c r="N636" s="7"/>
      <c r="O636" s="7"/>
      <c r="P636" s="7"/>
      <c r="Q636" s="7"/>
      <c r="R636" s="7"/>
      <c r="S636" s="7"/>
      <c r="T636" s="7"/>
      <c r="U636" s="7"/>
      <c r="V636" s="7"/>
      <c r="W636" s="7"/>
    </row>
    <row r="637" spans="1:23" ht="15.75" customHeight="1" x14ac:dyDescent="0.2">
      <c r="A637" s="7"/>
      <c r="B637" s="7"/>
      <c r="C637" s="7"/>
      <c r="D637" s="7"/>
      <c r="E637" s="7"/>
      <c r="F637" s="7"/>
      <c r="G637" s="7"/>
      <c r="H637" s="7"/>
      <c r="I637" s="7"/>
      <c r="J637" s="7"/>
      <c r="K637" s="7"/>
      <c r="L637" s="7"/>
      <c r="M637" s="7"/>
      <c r="N637" s="7"/>
      <c r="O637" s="7"/>
      <c r="P637" s="7"/>
      <c r="Q637" s="7"/>
      <c r="R637" s="7"/>
      <c r="S637" s="7"/>
      <c r="T637" s="7"/>
      <c r="U637" s="7"/>
      <c r="V637" s="7"/>
      <c r="W637" s="7"/>
    </row>
    <row r="638" spans="1:23" ht="15.75" customHeight="1" x14ac:dyDescent="0.2">
      <c r="A638" s="7"/>
      <c r="B638" s="7"/>
      <c r="C638" s="7"/>
      <c r="D638" s="7"/>
      <c r="E638" s="7"/>
      <c r="F638" s="7"/>
      <c r="G638" s="7"/>
      <c r="H638" s="7"/>
      <c r="I638" s="7"/>
      <c r="J638" s="7"/>
      <c r="K638" s="7"/>
      <c r="L638" s="7"/>
      <c r="M638" s="7"/>
      <c r="N638" s="7"/>
      <c r="O638" s="7"/>
      <c r="P638" s="7"/>
      <c r="Q638" s="7"/>
      <c r="R638" s="7"/>
      <c r="S638" s="7"/>
      <c r="T638" s="7"/>
      <c r="U638" s="7"/>
      <c r="V638" s="7"/>
      <c r="W638" s="7"/>
    </row>
    <row r="639" spans="1:23" ht="15.75" customHeight="1" x14ac:dyDescent="0.2">
      <c r="A639" s="7"/>
      <c r="B639" s="7"/>
      <c r="C639" s="7"/>
      <c r="D639" s="7"/>
      <c r="E639" s="7"/>
      <c r="F639" s="7"/>
      <c r="G639" s="7"/>
      <c r="H639" s="7"/>
      <c r="I639" s="7"/>
      <c r="J639" s="7"/>
      <c r="K639" s="7"/>
      <c r="L639" s="7"/>
      <c r="M639" s="7"/>
      <c r="N639" s="7"/>
      <c r="O639" s="7"/>
      <c r="P639" s="7"/>
      <c r="Q639" s="7"/>
      <c r="R639" s="7"/>
      <c r="S639" s="7"/>
      <c r="T639" s="7"/>
      <c r="U639" s="7"/>
      <c r="V639" s="7"/>
      <c r="W639" s="7"/>
    </row>
    <row r="640" spans="1:23" ht="15.75" customHeight="1" x14ac:dyDescent="0.2">
      <c r="A640" s="7"/>
      <c r="B640" s="7"/>
      <c r="C640" s="7"/>
      <c r="D640" s="7"/>
      <c r="E640" s="7"/>
      <c r="F640" s="7"/>
      <c r="G640" s="7"/>
      <c r="H640" s="7"/>
      <c r="I640" s="7"/>
      <c r="J640" s="7"/>
      <c r="K640" s="7"/>
      <c r="L640" s="7"/>
      <c r="M640" s="7"/>
      <c r="N640" s="7"/>
      <c r="O640" s="7"/>
      <c r="P640" s="7"/>
      <c r="Q640" s="7"/>
      <c r="R640" s="7"/>
      <c r="S640" s="7"/>
      <c r="T640" s="7"/>
      <c r="U640" s="7"/>
      <c r="V640" s="7"/>
      <c r="W640" s="7"/>
    </row>
    <row r="641" spans="1:23" ht="15.75" customHeight="1" x14ac:dyDescent="0.2">
      <c r="A641" s="7"/>
      <c r="B641" s="7"/>
      <c r="C641" s="7"/>
      <c r="D641" s="7"/>
      <c r="E641" s="7"/>
      <c r="F641" s="7"/>
      <c r="G641" s="7"/>
      <c r="H641" s="7"/>
      <c r="I641" s="7"/>
      <c r="J641" s="7"/>
      <c r="K641" s="7"/>
      <c r="L641" s="7"/>
      <c r="M641" s="7"/>
      <c r="N641" s="7"/>
      <c r="O641" s="7"/>
      <c r="P641" s="7"/>
      <c r="Q641" s="7"/>
      <c r="R641" s="7"/>
      <c r="S641" s="7"/>
      <c r="T641" s="7"/>
      <c r="U641" s="7"/>
      <c r="V641" s="7"/>
      <c r="W641" s="7"/>
    </row>
    <row r="642" spans="1:23" ht="15.75" customHeight="1" x14ac:dyDescent="0.2">
      <c r="A642" s="7"/>
      <c r="B642" s="7"/>
      <c r="C642" s="7"/>
      <c r="D642" s="7"/>
      <c r="E642" s="7"/>
      <c r="F642" s="7"/>
      <c r="G642" s="7"/>
      <c r="H642" s="7"/>
      <c r="I642" s="7"/>
      <c r="J642" s="7"/>
      <c r="K642" s="7"/>
      <c r="L642" s="7"/>
      <c r="M642" s="7"/>
      <c r="N642" s="7"/>
      <c r="O642" s="7"/>
      <c r="P642" s="7"/>
      <c r="Q642" s="7"/>
      <c r="R642" s="7"/>
      <c r="S642" s="7"/>
      <c r="T642" s="7"/>
      <c r="U642" s="7"/>
      <c r="V642" s="7"/>
      <c r="W642" s="7"/>
    </row>
    <row r="643" spans="1:23" ht="15.75" customHeight="1" x14ac:dyDescent="0.2">
      <c r="A643" s="7"/>
      <c r="B643" s="7"/>
      <c r="C643" s="7"/>
      <c r="D643" s="7"/>
      <c r="E643" s="7"/>
      <c r="F643" s="7"/>
      <c r="G643" s="7"/>
      <c r="H643" s="7"/>
      <c r="I643" s="7"/>
      <c r="J643" s="7"/>
      <c r="K643" s="7"/>
      <c r="L643" s="7"/>
      <c r="M643" s="7"/>
      <c r="N643" s="7"/>
      <c r="O643" s="7"/>
      <c r="P643" s="7"/>
      <c r="Q643" s="7"/>
      <c r="R643" s="7"/>
      <c r="S643" s="7"/>
      <c r="T643" s="7"/>
      <c r="U643" s="7"/>
      <c r="V643" s="7"/>
      <c r="W643" s="7"/>
    </row>
    <row r="644" spans="1:23" ht="15.75" customHeight="1" x14ac:dyDescent="0.2">
      <c r="A644" s="7"/>
      <c r="B644" s="7"/>
      <c r="C644" s="7"/>
      <c r="D644" s="7"/>
      <c r="E644" s="7"/>
      <c r="F644" s="7"/>
      <c r="G644" s="7"/>
      <c r="H644" s="7"/>
      <c r="I644" s="7"/>
      <c r="J644" s="7"/>
      <c r="K644" s="7"/>
      <c r="L644" s="7"/>
      <c r="M644" s="7"/>
      <c r="N644" s="7"/>
      <c r="O644" s="7"/>
      <c r="P644" s="7"/>
      <c r="Q644" s="7"/>
      <c r="R644" s="7"/>
      <c r="S644" s="7"/>
      <c r="T644" s="7"/>
      <c r="U644" s="7"/>
      <c r="V644" s="7"/>
      <c r="W644" s="7"/>
    </row>
    <row r="645" spans="1:23" ht="15.75" customHeight="1" x14ac:dyDescent="0.2">
      <c r="A645" s="7"/>
      <c r="B645" s="7"/>
      <c r="C645" s="7"/>
      <c r="D645" s="7"/>
      <c r="E645" s="7"/>
      <c r="F645" s="7"/>
      <c r="G645" s="7"/>
      <c r="H645" s="7"/>
      <c r="I645" s="7"/>
      <c r="J645" s="7"/>
      <c r="K645" s="7"/>
      <c r="L645" s="7"/>
      <c r="M645" s="7"/>
      <c r="N645" s="7"/>
      <c r="O645" s="7"/>
      <c r="P645" s="7"/>
      <c r="Q645" s="7"/>
      <c r="R645" s="7"/>
      <c r="S645" s="7"/>
      <c r="T645" s="7"/>
      <c r="U645" s="7"/>
      <c r="V645" s="7"/>
      <c r="W645" s="7"/>
    </row>
    <row r="646" spans="1:23" ht="15.75" customHeight="1" x14ac:dyDescent="0.2">
      <c r="A646" s="7"/>
      <c r="B646" s="7"/>
      <c r="C646" s="7"/>
      <c r="D646" s="7"/>
      <c r="E646" s="7"/>
      <c r="F646" s="7"/>
      <c r="G646" s="7"/>
      <c r="H646" s="7"/>
      <c r="I646" s="7"/>
      <c r="J646" s="7"/>
      <c r="K646" s="7"/>
      <c r="L646" s="7"/>
      <c r="M646" s="7"/>
      <c r="N646" s="7"/>
      <c r="O646" s="7"/>
      <c r="P646" s="7"/>
      <c r="Q646" s="7"/>
      <c r="R646" s="7"/>
      <c r="S646" s="7"/>
      <c r="T646" s="7"/>
      <c r="U646" s="7"/>
      <c r="V646" s="7"/>
      <c r="W646" s="7"/>
    </row>
    <row r="647" spans="1:23" ht="15.75" customHeight="1" x14ac:dyDescent="0.2">
      <c r="A647" s="7"/>
      <c r="B647" s="7"/>
      <c r="C647" s="7"/>
      <c r="D647" s="7"/>
      <c r="E647" s="7"/>
      <c r="F647" s="7"/>
      <c r="G647" s="7"/>
      <c r="H647" s="7"/>
      <c r="I647" s="7"/>
      <c r="J647" s="7"/>
      <c r="K647" s="7"/>
      <c r="L647" s="7"/>
      <c r="M647" s="7"/>
      <c r="N647" s="7"/>
      <c r="O647" s="7"/>
      <c r="P647" s="7"/>
      <c r="Q647" s="7"/>
      <c r="R647" s="7"/>
      <c r="S647" s="7"/>
      <c r="T647" s="7"/>
      <c r="U647" s="7"/>
      <c r="V647" s="7"/>
      <c r="W647" s="7"/>
    </row>
    <row r="648" spans="1:23" ht="15.75" customHeight="1" x14ac:dyDescent="0.2">
      <c r="A648" s="7"/>
      <c r="B648" s="7"/>
      <c r="C648" s="7"/>
      <c r="D648" s="7"/>
      <c r="E648" s="7"/>
      <c r="F648" s="7"/>
      <c r="G648" s="7"/>
      <c r="H648" s="7"/>
      <c r="I648" s="7"/>
      <c r="J648" s="7"/>
      <c r="K648" s="7"/>
      <c r="L648" s="7"/>
      <c r="M648" s="7"/>
      <c r="N648" s="7"/>
      <c r="O648" s="7"/>
      <c r="P648" s="7"/>
      <c r="Q648" s="7"/>
      <c r="R648" s="7"/>
      <c r="S648" s="7"/>
      <c r="T648" s="7"/>
      <c r="U648" s="7"/>
      <c r="V648" s="7"/>
      <c r="W648" s="7"/>
    </row>
    <row r="649" spans="1:23" ht="15.75" customHeight="1" x14ac:dyDescent="0.2">
      <c r="A649" s="7"/>
      <c r="B649" s="7"/>
      <c r="C649" s="7"/>
      <c r="D649" s="7"/>
      <c r="E649" s="7"/>
      <c r="F649" s="7"/>
      <c r="G649" s="7"/>
      <c r="H649" s="7"/>
      <c r="I649" s="7"/>
      <c r="J649" s="7"/>
      <c r="K649" s="7"/>
      <c r="L649" s="7"/>
      <c r="M649" s="7"/>
      <c r="N649" s="7"/>
      <c r="O649" s="7"/>
      <c r="P649" s="7"/>
      <c r="Q649" s="7"/>
      <c r="R649" s="7"/>
      <c r="S649" s="7"/>
      <c r="T649" s="7"/>
      <c r="U649" s="7"/>
      <c r="V649" s="7"/>
      <c r="W649" s="7"/>
    </row>
    <row r="650" spans="1:23" ht="15.75" customHeight="1" x14ac:dyDescent="0.2">
      <c r="A650" s="7"/>
      <c r="B650" s="7"/>
      <c r="C650" s="7"/>
      <c r="D650" s="7"/>
      <c r="E650" s="7"/>
      <c r="F650" s="7"/>
      <c r="G650" s="7"/>
      <c r="H650" s="7"/>
      <c r="I650" s="7"/>
      <c r="J650" s="7"/>
      <c r="K650" s="7"/>
      <c r="L650" s="7"/>
      <c r="M650" s="7"/>
      <c r="N650" s="7"/>
      <c r="O650" s="7"/>
      <c r="P650" s="7"/>
      <c r="Q650" s="7"/>
      <c r="R650" s="7"/>
      <c r="S650" s="7"/>
      <c r="T650" s="7"/>
      <c r="U650" s="7"/>
      <c r="V650" s="7"/>
      <c r="W650" s="7"/>
    </row>
    <row r="651" spans="1:23" ht="15.75" customHeight="1" x14ac:dyDescent="0.2">
      <c r="A651" s="7"/>
      <c r="B651" s="7"/>
      <c r="C651" s="7"/>
      <c r="D651" s="7"/>
      <c r="E651" s="7"/>
      <c r="F651" s="7"/>
      <c r="G651" s="7"/>
      <c r="H651" s="7"/>
      <c r="I651" s="7"/>
      <c r="J651" s="7"/>
      <c r="K651" s="7"/>
      <c r="L651" s="7"/>
      <c r="M651" s="7"/>
      <c r="N651" s="7"/>
      <c r="O651" s="7"/>
      <c r="P651" s="7"/>
      <c r="Q651" s="7"/>
      <c r="R651" s="7"/>
      <c r="S651" s="7"/>
      <c r="T651" s="7"/>
      <c r="U651" s="7"/>
      <c r="V651" s="7"/>
      <c r="W651" s="7"/>
    </row>
    <row r="652" spans="1:23" ht="15.75" customHeight="1" x14ac:dyDescent="0.2">
      <c r="A652" s="7"/>
      <c r="B652" s="7"/>
      <c r="C652" s="7"/>
      <c r="D652" s="7"/>
      <c r="E652" s="7"/>
      <c r="F652" s="7"/>
      <c r="G652" s="7"/>
      <c r="H652" s="7"/>
      <c r="I652" s="7"/>
      <c r="J652" s="7"/>
      <c r="K652" s="7"/>
      <c r="L652" s="7"/>
      <c r="M652" s="7"/>
      <c r="N652" s="7"/>
      <c r="O652" s="7"/>
      <c r="P652" s="7"/>
      <c r="Q652" s="7"/>
      <c r="R652" s="7"/>
      <c r="S652" s="7"/>
      <c r="T652" s="7"/>
      <c r="U652" s="7"/>
      <c r="V652" s="7"/>
      <c r="W652" s="7"/>
    </row>
    <row r="653" spans="1:23" ht="15.75" customHeight="1" x14ac:dyDescent="0.2">
      <c r="A653" s="7"/>
      <c r="B653" s="7"/>
      <c r="C653" s="7"/>
      <c r="D653" s="7"/>
      <c r="E653" s="7"/>
      <c r="F653" s="7"/>
      <c r="G653" s="7"/>
      <c r="H653" s="7"/>
      <c r="I653" s="7"/>
      <c r="J653" s="7"/>
      <c r="K653" s="7"/>
      <c r="L653" s="7"/>
      <c r="M653" s="7"/>
      <c r="N653" s="7"/>
      <c r="O653" s="7"/>
      <c r="P653" s="7"/>
      <c r="Q653" s="7"/>
      <c r="R653" s="7"/>
      <c r="S653" s="7"/>
      <c r="T653" s="7"/>
      <c r="U653" s="7"/>
      <c r="V653" s="7"/>
      <c r="W653" s="7"/>
    </row>
    <row r="654" spans="1:23" ht="15.75" customHeight="1" x14ac:dyDescent="0.2">
      <c r="A654" s="7"/>
      <c r="B654" s="7"/>
      <c r="C654" s="7"/>
      <c r="D654" s="7"/>
      <c r="E654" s="7"/>
      <c r="F654" s="7"/>
      <c r="G654" s="7"/>
      <c r="H654" s="7"/>
      <c r="I654" s="7"/>
      <c r="J654" s="7"/>
      <c r="K654" s="7"/>
      <c r="L654" s="7"/>
      <c r="M654" s="7"/>
      <c r="N654" s="7"/>
      <c r="O654" s="7"/>
      <c r="P654" s="7"/>
      <c r="Q654" s="7"/>
      <c r="R654" s="7"/>
      <c r="S654" s="7"/>
      <c r="T654" s="7"/>
      <c r="U654" s="7"/>
      <c r="V654" s="7"/>
      <c r="W654" s="7"/>
    </row>
    <row r="655" spans="1:23" ht="15.75" customHeight="1" x14ac:dyDescent="0.2">
      <c r="A655" s="7"/>
      <c r="B655" s="7"/>
      <c r="C655" s="7"/>
      <c r="D655" s="7"/>
      <c r="E655" s="7"/>
      <c r="F655" s="7"/>
      <c r="G655" s="7"/>
      <c r="H655" s="7"/>
      <c r="I655" s="7"/>
      <c r="J655" s="7"/>
      <c r="K655" s="7"/>
      <c r="L655" s="7"/>
      <c r="M655" s="7"/>
      <c r="N655" s="7"/>
      <c r="O655" s="7"/>
      <c r="P655" s="7"/>
      <c r="Q655" s="7"/>
      <c r="R655" s="7"/>
      <c r="S655" s="7"/>
      <c r="T655" s="7"/>
      <c r="U655" s="7"/>
      <c r="V655" s="7"/>
      <c r="W655" s="7"/>
    </row>
    <row r="656" spans="1:23" ht="15.75" customHeight="1" x14ac:dyDescent="0.2">
      <c r="A656" s="7"/>
      <c r="B656" s="7"/>
      <c r="C656" s="7"/>
      <c r="D656" s="7"/>
      <c r="E656" s="7"/>
      <c r="F656" s="7"/>
      <c r="G656" s="7"/>
      <c r="H656" s="7"/>
      <c r="I656" s="7"/>
      <c r="J656" s="7"/>
      <c r="K656" s="7"/>
      <c r="L656" s="7"/>
      <c r="M656" s="7"/>
      <c r="N656" s="7"/>
      <c r="O656" s="7"/>
      <c r="P656" s="7"/>
      <c r="Q656" s="7"/>
      <c r="R656" s="7"/>
      <c r="S656" s="7"/>
      <c r="T656" s="7"/>
      <c r="U656" s="7"/>
      <c r="V656" s="7"/>
      <c r="W656" s="7"/>
    </row>
    <row r="657" spans="1:23" ht="15.75" customHeight="1" x14ac:dyDescent="0.2">
      <c r="A657" s="7"/>
      <c r="B657" s="7"/>
      <c r="C657" s="7"/>
      <c r="D657" s="7"/>
      <c r="E657" s="7"/>
      <c r="F657" s="7"/>
      <c r="G657" s="7"/>
      <c r="H657" s="7"/>
      <c r="I657" s="7"/>
      <c r="J657" s="7"/>
      <c r="K657" s="7"/>
      <c r="L657" s="7"/>
      <c r="M657" s="7"/>
      <c r="N657" s="7"/>
      <c r="O657" s="7"/>
      <c r="P657" s="7"/>
      <c r="Q657" s="7"/>
      <c r="R657" s="7"/>
      <c r="S657" s="7"/>
      <c r="T657" s="7"/>
      <c r="U657" s="7"/>
      <c r="V657" s="7"/>
      <c r="W657" s="7"/>
    </row>
    <row r="658" spans="1:23" ht="15.75" customHeight="1" x14ac:dyDescent="0.2">
      <c r="A658" s="7"/>
      <c r="B658" s="7"/>
      <c r="C658" s="7"/>
      <c r="D658" s="7"/>
      <c r="E658" s="7"/>
      <c r="F658" s="7"/>
      <c r="G658" s="7"/>
      <c r="H658" s="7"/>
      <c r="I658" s="7"/>
      <c r="J658" s="7"/>
      <c r="K658" s="7"/>
      <c r="L658" s="7"/>
      <c r="M658" s="7"/>
      <c r="N658" s="7"/>
      <c r="O658" s="7"/>
      <c r="P658" s="7"/>
      <c r="Q658" s="7"/>
      <c r="R658" s="7"/>
      <c r="S658" s="7"/>
      <c r="T658" s="7"/>
      <c r="U658" s="7"/>
      <c r="V658" s="7"/>
      <c r="W658" s="7"/>
    </row>
    <row r="659" spans="1:23" ht="15.75" customHeight="1" x14ac:dyDescent="0.2">
      <c r="A659" s="7"/>
      <c r="B659" s="7"/>
      <c r="C659" s="7"/>
      <c r="D659" s="7"/>
      <c r="E659" s="7"/>
      <c r="F659" s="7"/>
      <c r="G659" s="7"/>
      <c r="H659" s="7"/>
      <c r="I659" s="7"/>
      <c r="J659" s="7"/>
      <c r="K659" s="7"/>
      <c r="L659" s="7"/>
      <c r="M659" s="7"/>
      <c r="N659" s="7"/>
      <c r="O659" s="7"/>
      <c r="P659" s="7"/>
      <c r="Q659" s="7"/>
      <c r="R659" s="7"/>
      <c r="S659" s="7"/>
      <c r="T659" s="7"/>
      <c r="U659" s="7"/>
      <c r="V659" s="7"/>
      <c r="W659" s="7"/>
    </row>
    <row r="660" spans="1:23" ht="15.75" customHeight="1" x14ac:dyDescent="0.2">
      <c r="A660" s="7"/>
      <c r="B660" s="7"/>
      <c r="C660" s="7"/>
      <c r="D660" s="7"/>
      <c r="E660" s="7"/>
      <c r="F660" s="7"/>
      <c r="G660" s="7"/>
      <c r="H660" s="7"/>
      <c r="I660" s="7"/>
      <c r="J660" s="7"/>
      <c r="K660" s="7"/>
      <c r="L660" s="7"/>
      <c r="M660" s="7"/>
      <c r="N660" s="7"/>
      <c r="O660" s="7"/>
      <c r="P660" s="7"/>
      <c r="Q660" s="7"/>
      <c r="R660" s="7"/>
      <c r="S660" s="7"/>
      <c r="T660" s="7"/>
      <c r="U660" s="7"/>
      <c r="V660" s="7"/>
      <c r="W660" s="7"/>
    </row>
    <row r="661" spans="1:23" ht="15.75" customHeight="1" x14ac:dyDescent="0.2">
      <c r="A661" s="7"/>
      <c r="B661" s="7"/>
      <c r="C661" s="7"/>
      <c r="D661" s="7"/>
      <c r="E661" s="7"/>
      <c r="F661" s="7"/>
      <c r="G661" s="7"/>
      <c r="H661" s="7"/>
      <c r="I661" s="7"/>
      <c r="J661" s="7"/>
      <c r="K661" s="7"/>
      <c r="L661" s="7"/>
      <c r="M661" s="7"/>
      <c r="N661" s="7"/>
      <c r="O661" s="7"/>
      <c r="P661" s="7"/>
      <c r="Q661" s="7"/>
      <c r="R661" s="7"/>
      <c r="S661" s="7"/>
      <c r="T661" s="7"/>
      <c r="U661" s="7"/>
      <c r="V661" s="7"/>
      <c r="W661" s="7"/>
    </row>
    <row r="662" spans="1:23" ht="15.75" customHeight="1" x14ac:dyDescent="0.2">
      <c r="A662" s="7"/>
      <c r="B662" s="7"/>
      <c r="C662" s="7"/>
      <c r="D662" s="7"/>
      <c r="E662" s="7"/>
      <c r="F662" s="7"/>
      <c r="G662" s="7"/>
      <c r="H662" s="7"/>
      <c r="I662" s="7"/>
      <c r="J662" s="7"/>
      <c r="K662" s="7"/>
      <c r="L662" s="7"/>
      <c r="M662" s="7"/>
      <c r="N662" s="7"/>
      <c r="O662" s="7"/>
      <c r="P662" s="7"/>
      <c r="Q662" s="7"/>
      <c r="R662" s="7"/>
      <c r="S662" s="7"/>
      <c r="T662" s="7"/>
      <c r="U662" s="7"/>
      <c r="V662" s="7"/>
      <c r="W662" s="7"/>
    </row>
    <row r="663" spans="1:23" ht="15.75" customHeight="1" x14ac:dyDescent="0.2">
      <c r="A663" s="7"/>
      <c r="B663" s="7"/>
      <c r="C663" s="7"/>
      <c r="D663" s="7"/>
      <c r="E663" s="7"/>
      <c r="F663" s="7"/>
      <c r="G663" s="7"/>
      <c r="H663" s="7"/>
      <c r="I663" s="7"/>
      <c r="J663" s="7"/>
      <c r="K663" s="7"/>
      <c r="L663" s="7"/>
      <c r="M663" s="7"/>
      <c r="N663" s="7"/>
      <c r="O663" s="7"/>
      <c r="P663" s="7"/>
      <c r="Q663" s="7"/>
      <c r="R663" s="7"/>
      <c r="S663" s="7"/>
      <c r="T663" s="7"/>
      <c r="U663" s="7"/>
      <c r="V663" s="7"/>
      <c r="W663" s="7"/>
    </row>
    <row r="664" spans="1:23" ht="15.75" customHeight="1" x14ac:dyDescent="0.2">
      <c r="A664" s="7"/>
      <c r="B664" s="7"/>
      <c r="C664" s="7"/>
      <c r="D664" s="7"/>
      <c r="E664" s="7"/>
      <c r="F664" s="7"/>
      <c r="G664" s="7"/>
      <c r="H664" s="7"/>
      <c r="I664" s="7"/>
      <c r="J664" s="7"/>
      <c r="K664" s="7"/>
      <c r="L664" s="7"/>
      <c r="M664" s="7"/>
      <c r="N664" s="7"/>
      <c r="O664" s="7"/>
      <c r="P664" s="7"/>
      <c r="Q664" s="7"/>
      <c r="R664" s="7"/>
      <c r="S664" s="7"/>
      <c r="T664" s="7"/>
      <c r="U664" s="7"/>
      <c r="V664" s="7"/>
      <c r="W664" s="7"/>
    </row>
    <row r="665" spans="1:23" ht="15.75" customHeight="1" x14ac:dyDescent="0.2">
      <c r="A665" s="7"/>
      <c r="B665" s="7"/>
      <c r="C665" s="7"/>
      <c r="D665" s="7"/>
      <c r="E665" s="7"/>
      <c r="F665" s="7"/>
      <c r="G665" s="7"/>
      <c r="H665" s="7"/>
      <c r="I665" s="7"/>
      <c r="J665" s="7"/>
      <c r="K665" s="7"/>
      <c r="L665" s="7"/>
      <c r="M665" s="7"/>
      <c r="N665" s="7"/>
      <c r="O665" s="7"/>
      <c r="P665" s="7"/>
      <c r="Q665" s="7"/>
      <c r="R665" s="7"/>
      <c r="S665" s="7"/>
      <c r="T665" s="7"/>
      <c r="U665" s="7"/>
      <c r="V665" s="7"/>
      <c r="W665" s="7"/>
    </row>
    <row r="666" spans="1:23" ht="15.75" customHeight="1" x14ac:dyDescent="0.2">
      <c r="A666" s="7"/>
      <c r="B666" s="7"/>
      <c r="C666" s="7"/>
      <c r="D666" s="7"/>
      <c r="E666" s="7"/>
      <c r="F666" s="7"/>
      <c r="G666" s="7"/>
      <c r="H666" s="7"/>
      <c r="I666" s="7"/>
      <c r="J666" s="7"/>
      <c r="K666" s="7"/>
      <c r="L666" s="7"/>
      <c r="M666" s="7"/>
      <c r="N666" s="7"/>
      <c r="O666" s="7"/>
      <c r="P666" s="7"/>
      <c r="Q666" s="7"/>
      <c r="R666" s="7"/>
      <c r="S666" s="7"/>
      <c r="T666" s="7"/>
      <c r="U666" s="7"/>
      <c r="V666" s="7"/>
      <c r="W666" s="7"/>
    </row>
    <row r="667" spans="1:23" ht="15.75" customHeight="1" x14ac:dyDescent="0.2">
      <c r="A667" s="7"/>
      <c r="B667" s="7"/>
      <c r="C667" s="7"/>
      <c r="D667" s="7"/>
      <c r="E667" s="7"/>
      <c r="F667" s="7"/>
      <c r="G667" s="7"/>
      <c r="H667" s="7"/>
      <c r="I667" s="7"/>
      <c r="J667" s="7"/>
      <c r="K667" s="7"/>
      <c r="L667" s="7"/>
      <c r="M667" s="7"/>
      <c r="N667" s="7"/>
      <c r="O667" s="7"/>
      <c r="P667" s="7"/>
      <c r="Q667" s="7"/>
      <c r="R667" s="7"/>
      <c r="S667" s="7"/>
      <c r="T667" s="7"/>
      <c r="U667" s="7"/>
      <c r="V667" s="7"/>
      <c r="W667" s="7"/>
    </row>
    <row r="668" spans="1:23" ht="15.75" customHeight="1" x14ac:dyDescent="0.2">
      <c r="A668" s="7"/>
      <c r="B668" s="7"/>
      <c r="C668" s="7"/>
      <c r="D668" s="7"/>
      <c r="E668" s="7"/>
      <c r="F668" s="7"/>
      <c r="G668" s="7"/>
      <c r="H668" s="7"/>
      <c r="I668" s="7"/>
      <c r="J668" s="7"/>
      <c r="K668" s="7"/>
      <c r="L668" s="7"/>
      <c r="M668" s="7"/>
      <c r="N668" s="7"/>
      <c r="O668" s="7"/>
      <c r="P668" s="7"/>
      <c r="Q668" s="7"/>
      <c r="R668" s="7"/>
      <c r="S668" s="7"/>
      <c r="T668" s="7"/>
      <c r="U668" s="7"/>
      <c r="V668" s="7"/>
      <c r="W668" s="7"/>
    </row>
    <row r="669" spans="1:23" ht="15.75" customHeight="1" x14ac:dyDescent="0.2">
      <c r="A669" s="7"/>
      <c r="B669" s="7"/>
      <c r="C669" s="7"/>
      <c r="D669" s="7"/>
      <c r="E669" s="7"/>
      <c r="F669" s="7"/>
      <c r="G669" s="7"/>
      <c r="H669" s="7"/>
      <c r="I669" s="7"/>
      <c r="J669" s="7"/>
      <c r="K669" s="7"/>
      <c r="L669" s="7"/>
      <c r="M669" s="7"/>
      <c r="N669" s="7"/>
      <c r="O669" s="7"/>
      <c r="P669" s="7"/>
      <c r="Q669" s="7"/>
      <c r="R669" s="7"/>
      <c r="S669" s="7"/>
      <c r="T669" s="7"/>
      <c r="U669" s="7"/>
      <c r="V669" s="7"/>
      <c r="W669" s="7"/>
    </row>
    <row r="670" spans="1:23" ht="15.75" customHeight="1" x14ac:dyDescent="0.2">
      <c r="A670" s="7"/>
      <c r="B670" s="7"/>
      <c r="C670" s="7"/>
      <c r="D670" s="7"/>
      <c r="E670" s="7"/>
      <c r="F670" s="7"/>
      <c r="G670" s="7"/>
      <c r="H670" s="7"/>
      <c r="I670" s="7"/>
      <c r="J670" s="7"/>
      <c r="K670" s="7"/>
      <c r="L670" s="7"/>
      <c r="M670" s="7"/>
      <c r="N670" s="7"/>
      <c r="O670" s="7"/>
      <c r="P670" s="7"/>
      <c r="Q670" s="7"/>
      <c r="R670" s="7"/>
      <c r="S670" s="7"/>
      <c r="T670" s="7"/>
      <c r="U670" s="7"/>
      <c r="V670" s="7"/>
      <c r="W670" s="7"/>
    </row>
    <row r="671" spans="1:23" ht="15.75" customHeight="1" x14ac:dyDescent="0.2">
      <c r="A671" s="7"/>
      <c r="B671" s="7"/>
      <c r="C671" s="7"/>
      <c r="D671" s="7"/>
      <c r="E671" s="7"/>
      <c r="F671" s="7"/>
      <c r="G671" s="7"/>
      <c r="H671" s="7"/>
      <c r="I671" s="7"/>
      <c r="J671" s="7"/>
      <c r="K671" s="7"/>
      <c r="L671" s="7"/>
      <c r="M671" s="7"/>
      <c r="N671" s="7"/>
      <c r="O671" s="7"/>
      <c r="P671" s="7"/>
      <c r="Q671" s="7"/>
      <c r="R671" s="7"/>
      <c r="S671" s="7"/>
      <c r="T671" s="7"/>
      <c r="U671" s="7"/>
      <c r="V671" s="7"/>
      <c r="W671" s="7"/>
    </row>
    <row r="672" spans="1:23" ht="15.75" customHeight="1" x14ac:dyDescent="0.2">
      <c r="A672" s="7"/>
      <c r="B672" s="7"/>
      <c r="C672" s="7"/>
      <c r="D672" s="7"/>
      <c r="E672" s="7"/>
      <c r="F672" s="7"/>
      <c r="G672" s="7"/>
      <c r="H672" s="7"/>
      <c r="I672" s="7"/>
      <c r="J672" s="7"/>
      <c r="K672" s="7"/>
      <c r="L672" s="7"/>
      <c r="M672" s="7"/>
      <c r="N672" s="7"/>
      <c r="O672" s="7"/>
      <c r="P672" s="7"/>
      <c r="Q672" s="7"/>
      <c r="R672" s="7"/>
      <c r="S672" s="7"/>
      <c r="T672" s="7"/>
      <c r="U672" s="7"/>
      <c r="V672" s="7"/>
      <c r="W672" s="7"/>
    </row>
    <row r="673" spans="1:23" ht="15.75" customHeight="1" x14ac:dyDescent="0.2">
      <c r="A673" s="7"/>
      <c r="B673" s="7"/>
      <c r="C673" s="7"/>
      <c r="D673" s="7"/>
      <c r="E673" s="7"/>
      <c r="F673" s="7"/>
      <c r="G673" s="7"/>
      <c r="H673" s="7"/>
      <c r="I673" s="7"/>
      <c r="J673" s="7"/>
      <c r="K673" s="7"/>
      <c r="L673" s="7"/>
      <c r="M673" s="7"/>
      <c r="N673" s="7"/>
      <c r="O673" s="7"/>
      <c r="P673" s="7"/>
      <c r="Q673" s="7"/>
      <c r="R673" s="7"/>
      <c r="S673" s="7"/>
      <c r="T673" s="7"/>
      <c r="U673" s="7"/>
      <c r="V673" s="7"/>
      <c r="W673" s="7"/>
    </row>
    <row r="674" spans="1:23" ht="15.75" customHeight="1" x14ac:dyDescent="0.2">
      <c r="A674" s="7"/>
      <c r="B674" s="7"/>
      <c r="C674" s="7"/>
      <c r="D674" s="7"/>
      <c r="E674" s="7"/>
      <c r="F674" s="7"/>
      <c r="G674" s="7"/>
      <c r="H674" s="7"/>
      <c r="I674" s="7"/>
      <c r="J674" s="7"/>
      <c r="K674" s="7"/>
      <c r="L674" s="7"/>
      <c r="M674" s="7"/>
      <c r="N674" s="7"/>
      <c r="O674" s="7"/>
      <c r="P674" s="7"/>
      <c r="Q674" s="7"/>
      <c r="R674" s="7"/>
      <c r="S674" s="7"/>
      <c r="T674" s="7"/>
      <c r="U674" s="7"/>
      <c r="V674" s="7"/>
      <c r="W674" s="7"/>
    </row>
    <row r="675" spans="1:23" ht="15.75" customHeight="1" x14ac:dyDescent="0.2">
      <c r="A675" s="7"/>
      <c r="B675" s="7"/>
      <c r="C675" s="7"/>
      <c r="D675" s="7"/>
      <c r="E675" s="7"/>
      <c r="F675" s="7"/>
      <c r="G675" s="7"/>
      <c r="H675" s="7"/>
      <c r="I675" s="7"/>
      <c r="J675" s="7"/>
      <c r="K675" s="7"/>
      <c r="L675" s="7"/>
      <c r="M675" s="7"/>
      <c r="N675" s="7"/>
      <c r="O675" s="7"/>
      <c r="P675" s="7"/>
      <c r="Q675" s="7"/>
      <c r="R675" s="7"/>
      <c r="S675" s="7"/>
      <c r="T675" s="7"/>
      <c r="U675" s="7"/>
      <c r="V675" s="7"/>
      <c r="W675" s="7"/>
    </row>
    <row r="676" spans="1:23" ht="15.75" customHeight="1" x14ac:dyDescent="0.2">
      <c r="A676" s="7"/>
      <c r="B676" s="7"/>
      <c r="C676" s="7"/>
      <c r="D676" s="7"/>
      <c r="E676" s="7"/>
      <c r="F676" s="7"/>
      <c r="G676" s="7"/>
      <c r="H676" s="7"/>
      <c r="I676" s="7"/>
      <c r="J676" s="7"/>
      <c r="K676" s="7"/>
      <c r="L676" s="7"/>
      <c r="M676" s="7"/>
      <c r="N676" s="7"/>
      <c r="O676" s="7"/>
      <c r="P676" s="7"/>
      <c r="Q676" s="7"/>
      <c r="R676" s="7"/>
      <c r="S676" s="7"/>
      <c r="T676" s="7"/>
      <c r="U676" s="7"/>
      <c r="V676" s="7"/>
      <c r="W676" s="7"/>
    </row>
    <row r="677" spans="1:23" ht="15.75" customHeight="1" x14ac:dyDescent="0.2">
      <c r="A677" s="7"/>
      <c r="B677" s="7"/>
      <c r="C677" s="7"/>
      <c r="D677" s="7"/>
      <c r="E677" s="7"/>
      <c r="F677" s="7"/>
      <c r="G677" s="7"/>
      <c r="H677" s="7"/>
      <c r="I677" s="7"/>
      <c r="J677" s="7"/>
      <c r="K677" s="7"/>
      <c r="L677" s="7"/>
      <c r="M677" s="7"/>
      <c r="N677" s="7"/>
      <c r="O677" s="7"/>
      <c r="P677" s="7"/>
      <c r="Q677" s="7"/>
      <c r="R677" s="7"/>
      <c r="S677" s="7"/>
      <c r="T677" s="7"/>
      <c r="U677" s="7"/>
      <c r="V677" s="7"/>
      <c r="W677" s="7"/>
    </row>
    <row r="678" spans="1:23" ht="15.75" customHeight="1" x14ac:dyDescent="0.2">
      <c r="A678" s="7"/>
      <c r="B678" s="7"/>
      <c r="C678" s="7"/>
      <c r="D678" s="7"/>
      <c r="E678" s="7"/>
      <c r="F678" s="7"/>
      <c r="G678" s="7"/>
      <c r="H678" s="7"/>
      <c r="I678" s="7"/>
      <c r="J678" s="7"/>
      <c r="K678" s="7"/>
      <c r="L678" s="7"/>
      <c r="M678" s="7"/>
      <c r="N678" s="7"/>
      <c r="O678" s="7"/>
      <c r="P678" s="7"/>
      <c r="Q678" s="7"/>
      <c r="R678" s="7"/>
      <c r="S678" s="7"/>
      <c r="T678" s="7"/>
      <c r="U678" s="7"/>
      <c r="V678" s="7"/>
      <c r="W678" s="7"/>
    </row>
    <row r="679" spans="1:23" ht="15.75" customHeight="1" x14ac:dyDescent="0.2">
      <c r="A679" s="7"/>
      <c r="B679" s="7"/>
      <c r="C679" s="7"/>
      <c r="D679" s="7"/>
      <c r="E679" s="7"/>
      <c r="F679" s="7"/>
      <c r="G679" s="7"/>
      <c r="H679" s="7"/>
      <c r="I679" s="7"/>
      <c r="J679" s="7"/>
      <c r="K679" s="7"/>
      <c r="L679" s="7"/>
      <c r="M679" s="7"/>
      <c r="N679" s="7"/>
      <c r="O679" s="7"/>
      <c r="P679" s="7"/>
      <c r="Q679" s="7"/>
      <c r="R679" s="7"/>
      <c r="S679" s="7"/>
      <c r="T679" s="7"/>
      <c r="U679" s="7"/>
      <c r="V679" s="7"/>
      <c r="W679" s="7"/>
    </row>
    <row r="680" spans="1:23" ht="15.75" customHeight="1" x14ac:dyDescent="0.2">
      <c r="A680" s="7"/>
      <c r="B680" s="7"/>
      <c r="C680" s="7"/>
      <c r="D680" s="7"/>
      <c r="E680" s="7"/>
      <c r="F680" s="7"/>
      <c r="G680" s="7"/>
      <c r="H680" s="7"/>
      <c r="I680" s="7"/>
      <c r="J680" s="7"/>
      <c r="K680" s="7"/>
      <c r="L680" s="7"/>
      <c r="M680" s="7"/>
      <c r="N680" s="7"/>
      <c r="O680" s="7"/>
      <c r="P680" s="7"/>
      <c r="Q680" s="7"/>
      <c r="R680" s="7"/>
      <c r="S680" s="7"/>
      <c r="T680" s="7"/>
      <c r="U680" s="7"/>
      <c r="V680" s="7"/>
      <c r="W680" s="7"/>
    </row>
    <row r="681" spans="1:23" ht="15.75" customHeight="1" x14ac:dyDescent="0.2">
      <c r="A681" s="7"/>
      <c r="B681" s="7"/>
      <c r="C681" s="7"/>
      <c r="D681" s="7"/>
      <c r="E681" s="7"/>
      <c r="F681" s="7"/>
      <c r="G681" s="7"/>
      <c r="H681" s="7"/>
      <c r="I681" s="7"/>
      <c r="J681" s="7"/>
      <c r="K681" s="7"/>
      <c r="L681" s="7"/>
      <c r="M681" s="7"/>
      <c r="N681" s="7"/>
      <c r="O681" s="7"/>
      <c r="P681" s="7"/>
      <c r="Q681" s="7"/>
      <c r="R681" s="7"/>
      <c r="S681" s="7"/>
      <c r="T681" s="7"/>
      <c r="U681" s="7"/>
      <c r="V681" s="7"/>
      <c r="W681" s="7"/>
    </row>
    <row r="682" spans="1:23" ht="15.75" customHeight="1" x14ac:dyDescent="0.2">
      <c r="A682" s="7"/>
      <c r="B682" s="7"/>
      <c r="C682" s="7"/>
      <c r="D682" s="7"/>
      <c r="E682" s="7"/>
      <c r="F682" s="7"/>
      <c r="G682" s="7"/>
      <c r="H682" s="7"/>
      <c r="I682" s="7"/>
      <c r="J682" s="7"/>
      <c r="K682" s="7"/>
      <c r="L682" s="7"/>
      <c r="M682" s="7"/>
      <c r="N682" s="7"/>
      <c r="O682" s="7"/>
      <c r="P682" s="7"/>
      <c r="Q682" s="7"/>
      <c r="R682" s="7"/>
      <c r="S682" s="7"/>
      <c r="T682" s="7"/>
      <c r="U682" s="7"/>
      <c r="V682" s="7"/>
      <c r="W682" s="7"/>
    </row>
    <row r="683" spans="1:23" ht="15.75" customHeight="1" x14ac:dyDescent="0.2">
      <c r="A683" s="7"/>
      <c r="B683" s="7"/>
      <c r="C683" s="7"/>
      <c r="D683" s="7"/>
      <c r="E683" s="7"/>
      <c r="F683" s="7"/>
      <c r="G683" s="7"/>
      <c r="H683" s="7"/>
      <c r="I683" s="7"/>
      <c r="J683" s="7"/>
      <c r="K683" s="7"/>
      <c r="L683" s="7"/>
      <c r="M683" s="7"/>
      <c r="N683" s="7"/>
      <c r="O683" s="7"/>
      <c r="P683" s="7"/>
      <c r="Q683" s="7"/>
      <c r="R683" s="7"/>
      <c r="S683" s="7"/>
      <c r="T683" s="7"/>
      <c r="U683" s="7"/>
      <c r="V683" s="7"/>
      <c r="W683" s="7"/>
    </row>
    <row r="684" spans="1:23" ht="15.75" customHeight="1" x14ac:dyDescent="0.2">
      <c r="A684" s="7"/>
      <c r="B684" s="7"/>
      <c r="C684" s="7"/>
      <c r="D684" s="7"/>
      <c r="E684" s="7"/>
      <c r="F684" s="7"/>
      <c r="G684" s="7"/>
      <c r="H684" s="7"/>
      <c r="I684" s="7"/>
      <c r="J684" s="7"/>
      <c r="K684" s="7"/>
      <c r="L684" s="7"/>
      <c r="M684" s="7"/>
      <c r="N684" s="7"/>
      <c r="O684" s="7"/>
      <c r="P684" s="7"/>
      <c r="Q684" s="7"/>
      <c r="R684" s="7"/>
      <c r="S684" s="7"/>
      <c r="T684" s="7"/>
      <c r="U684" s="7"/>
      <c r="V684" s="7"/>
      <c r="W684" s="7"/>
    </row>
    <row r="685" spans="1:23" ht="15.75" customHeight="1" x14ac:dyDescent="0.2">
      <c r="A685" s="7"/>
      <c r="B685" s="7"/>
      <c r="C685" s="7"/>
      <c r="D685" s="7"/>
      <c r="E685" s="7"/>
      <c r="F685" s="7"/>
      <c r="G685" s="7"/>
      <c r="H685" s="7"/>
      <c r="I685" s="7"/>
      <c r="J685" s="7"/>
      <c r="K685" s="7"/>
      <c r="L685" s="7"/>
      <c r="M685" s="7"/>
      <c r="N685" s="7"/>
      <c r="O685" s="7"/>
      <c r="P685" s="7"/>
      <c r="Q685" s="7"/>
      <c r="R685" s="7"/>
      <c r="S685" s="7"/>
      <c r="T685" s="7"/>
      <c r="U685" s="7"/>
      <c r="V685" s="7"/>
      <c r="W685" s="7"/>
    </row>
    <row r="686" spans="1:23" ht="15.75" customHeight="1" x14ac:dyDescent="0.2">
      <c r="A686" s="7"/>
      <c r="B686" s="7"/>
      <c r="C686" s="7"/>
      <c r="D686" s="7"/>
      <c r="E686" s="7"/>
      <c r="F686" s="7"/>
      <c r="G686" s="7"/>
      <c r="H686" s="7"/>
      <c r="I686" s="7"/>
      <c r="J686" s="7"/>
      <c r="K686" s="7"/>
      <c r="L686" s="7"/>
      <c r="M686" s="7"/>
      <c r="N686" s="7"/>
      <c r="O686" s="7"/>
      <c r="P686" s="7"/>
      <c r="Q686" s="7"/>
      <c r="R686" s="7"/>
      <c r="S686" s="7"/>
      <c r="T686" s="7"/>
      <c r="U686" s="7"/>
      <c r="V686" s="7"/>
      <c r="W686" s="7"/>
    </row>
    <row r="687" spans="1:23" ht="15.75" customHeight="1" x14ac:dyDescent="0.2">
      <c r="A687" s="7"/>
      <c r="B687" s="7"/>
      <c r="C687" s="7"/>
      <c r="D687" s="7"/>
      <c r="E687" s="7"/>
      <c r="F687" s="7"/>
      <c r="G687" s="7"/>
      <c r="H687" s="7"/>
      <c r="I687" s="7"/>
      <c r="J687" s="7"/>
      <c r="K687" s="7"/>
      <c r="L687" s="7"/>
      <c r="M687" s="7"/>
      <c r="N687" s="7"/>
      <c r="O687" s="7"/>
      <c r="P687" s="7"/>
      <c r="Q687" s="7"/>
      <c r="R687" s="7"/>
      <c r="S687" s="7"/>
      <c r="T687" s="7"/>
      <c r="U687" s="7"/>
      <c r="V687" s="7"/>
      <c r="W687" s="7"/>
    </row>
    <row r="688" spans="1:23" ht="15.75" customHeight="1" x14ac:dyDescent="0.2">
      <c r="A688" s="7"/>
      <c r="B688" s="7"/>
      <c r="C688" s="7"/>
      <c r="D688" s="7"/>
      <c r="E688" s="7"/>
      <c r="F688" s="7"/>
      <c r="G688" s="7"/>
      <c r="H688" s="7"/>
      <c r="I688" s="7"/>
      <c r="J688" s="7"/>
      <c r="K688" s="7"/>
      <c r="L688" s="7"/>
      <c r="M688" s="7"/>
      <c r="N688" s="7"/>
      <c r="O688" s="7"/>
      <c r="P688" s="7"/>
      <c r="Q688" s="7"/>
      <c r="R688" s="7"/>
      <c r="S688" s="7"/>
      <c r="T688" s="7"/>
      <c r="U688" s="7"/>
      <c r="V688" s="7"/>
      <c r="W688" s="7"/>
    </row>
    <row r="689" spans="1:23" ht="15.75" customHeight="1" x14ac:dyDescent="0.2">
      <c r="A689" s="7"/>
      <c r="B689" s="7"/>
      <c r="C689" s="7"/>
      <c r="D689" s="7"/>
      <c r="E689" s="7"/>
      <c r="F689" s="7"/>
      <c r="G689" s="7"/>
      <c r="H689" s="7"/>
      <c r="I689" s="7"/>
      <c r="J689" s="7"/>
      <c r="K689" s="7"/>
      <c r="L689" s="7"/>
      <c r="M689" s="7"/>
      <c r="N689" s="7"/>
      <c r="O689" s="7"/>
      <c r="P689" s="7"/>
      <c r="Q689" s="7"/>
      <c r="R689" s="7"/>
      <c r="S689" s="7"/>
      <c r="T689" s="7"/>
      <c r="U689" s="7"/>
      <c r="V689" s="7"/>
      <c r="W689" s="7"/>
    </row>
    <row r="690" spans="1:23" ht="15.75" customHeight="1" x14ac:dyDescent="0.2">
      <c r="A690" s="7"/>
      <c r="B690" s="7"/>
      <c r="C690" s="7"/>
      <c r="D690" s="7"/>
      <c r="E690" s="7"/>
      <c r="F690" s="7"/>
      <c r="G690" s="7"/>
      <c r="H690" s="7"/>
      <c r="I690" s="7"/>
      <c r="J690" s="7"/>
      <c r="K690" s="7"/>
      <c r="L690" s="7"/>
      <c r="M690" s="7"/>
      <c r="N690" s="7"/>
      <c r="O690" s="7"/>
      <c r="P690" s="7"/>
      <c r="Q690" s="7"/>
      <c r="R690" s="7"/>
      <c r="S690" s="7"/>
      <c r="T690" s="7"/>
      <c r="U690" s="7"/>
      <c r="V690" s="7"/>
      <c r="W690" s="7"/>
    </row>
    <row r="691" spans="1:23" ht="15.75" customHeight="1" x14ac:dyDescent="0.2">
      <c r="A691" s="7"/>
      <c r="B691" s="7"/>
      <c r="C691" s="7"/>
      <c r="D691" s="7"/>
      <c r="E691" s="7"/>
      <c r="F691" s="7"/>
      <c r="G691" s="7"/>
      <c r="H691" s="7"/>
      <c r="I691" s="7"/>
      <c r="J691" s="7"/>
      <c r="K691" s="7"/>
      <c r="L691" s="7"/>
      <c r="M691" s="7"/>
      <c r="N691" s="7"/>
      <c r="O691" s="7"/>
      <c r="P691" s="7"/>
      <c r="Q691" s="7"/>
      <c r="R691" s="7"/>
      <c r="S691" s="7"/>
      <c r="T691" s="7"/>
      <c r="U691" s="7"/>
      <c r="V691" s="7"/>
      <c r="W691" s="7"/>
    </row>
    <row r="692" spans="1:23" ht="15.75" customHeight="1" x14ac:dyDescent="0.2">
      <c r="A692" s="7"/>
      <c r="B692" s="7"/>
      <c r="C692" s="7"/>
      <c r="D692" s="7"/>
      <c r="E692" s="7"/>
      <c r="F692" s="7"/>
      <c r="G692" s="7"/>
      <c r="H692" s="7"/>
      <c r="I692" s="7"/>
      <c r="J692" s="7"/>
      <c r="K692" s="7"/>
      <c r="L692" s="7"/>
      <c r="M692" s="7"/>
      <c r="N692" s="7"/>
      <c r="O692" s="7"/>
      <c r="P692" s="7"/>
      <c r="Q692" s="7"/>
      <c r="R692" s="7"/>
      <c r="S692" s="7"/>
      <c r="T692" s="7"/>
      <c r="U692" s="7"/>
      <c r="V692" s="7"/>
      <c r="W692" s="7"/>
    </row>
    <row r="693" spans="1:23" ht="15.75" customHeight="1" x14ac:dyDescent="0.2">
      <c r="A693" s="7"/>
      <c r="B693" s="7"/>
      <c r="C693" s="7"/>
      <c r="D693" s="7"/>
      <c r="E693" s="7"/>
      <c r="F693" s="7"/>
      <c r="G693" s="7"/>
      <c r="H693" s="7"/>
      <c r="I693" s="7"/>
      <c r="J693" s="7"/>
      <c r="K693" s="7"/>
      <c r="L693" s="7"/>
      <c r="M693" s="7"/>
      <c r="N693" s="7"/>
      <c r="O693" s="7"/>
      <c r="P693" s="7"/>
      <c r="Q693" s="7"/>
      <c r="R693" s="7"/>
      <c r="S693" s="7"/>
      <c r="T693" s="7"/>
      <c r="U693" s="7"/>
      <c r="V693" s="7"/>
      <c r="W693" s="7"/>
    </row>
    <row r="694" spans="1:23" ht="15.75" customHeight="1" x14ac:dyDescent="0.2">
      <c r="A694" s="7"/>
      <c r="B694" s="7"/>
      <c r="C694" s="7"/>
      <c r="D694" s="7"/>
      <c r="E694" s="7"/>
      <c r="F694" s="7"/>
      <c r="G694" s="7"/>
      <c r="H694" s="7"/>
      <c r="I694" s="7"/>
      <c r="J694" s="7"/>
      <c r="K694" s="7"/>
      <c r="L694" s="7"/>
      <c r="M694" s="7"/>
      <c r="N694" s="7"/>
      <c r="O694" s="7"/>
      <c r="P694" s="7"/>
      <c r="Q694" s="7"/>
      <c r="R694" s="7"/>
      <c r="S694" s="7"/>
      <c r="T694" s="7"/>
      <c r="U694" s="7"/>
      <c r="V694" s="7"/>
      <c r="W694" s="7"/>
    </row>
    <row r="695" spans="1:23" ht="15.75" customHeight="1" x14ac:dyDescent="0.2">
      <c r="A695" s="7"/>
      <c r="B695" s="7"/>
      <c r="C695" s="7"/>
      <c r="D695" s="7"/>
      <c r="E695" s="7"/>
      <c r="F695" s="7"/>
      <c r="G695" s="7"/>
      <c r="H695" s="7"/>
      <c r="I695" s="7"/>
      <c r="J695" s="7"/>
      <c r="K695" s="7"/>
      <c r="L695" s="7"/>
      <c r="M695" s="7"/>
      <c r="N695" s="7"/>
      <c r="O695" s="7"/>
      <c r="P695" s="7"/>
      <c r="Q695" s="7"/>
      <c r="R695" s="7"/>
      <c r="S695" s="7"/>
      <c r="T695" s="7"/>
      <c r="U695" s="7"/>
      <c r="V695" s="7"/>
      <c r="W695" s="7"/>
    </row>
    <row r="696" spans="1:23" ht="15.75" customHeight="1" x14ac:dyDescent="0.2">
      <c r="A696" s="7"/>
      <c r="B696" s="7"/>
      <c r="C696" s="7"/>
      <c r="D696" s="7"/>
      <c r="E696" s="7"/>
      <c r="F696" s="7"/>
      <c r="G696" s="7"/>
      <c r="H696" s="7"/>
      <c r="I696" s="7"/>
      <c r="J696" s="7"/>
      <c r="K696" s="7"/>
      <c r="L696" s="7"/>
      <c r="M696" s="7"/>
      <c r="N696" s="7"/>
      <c r="O696" s="7"/>
      <c r="P696" s="7"/>
      <c r="Q696" s="7"/>
      <c r="R696" s="7"/>
      <c r="S696" s="7"/>
      <c r="T696" s="7"/>
      <c r="U696" s="7"/>
      <c r="V696" s="7"/>
      <c r="W696" s="7"/>
    </row>
    <row r="697" spans="1:23" ht="15.75" customHeight="1" x14ac:dyDescent="0.2">
      <c r="A697" s="7"/>
      <c r="B697" s="7"/>
      <c r="C697" s="7"/>
      <c r="D697" s="7"/>
      <c r="E697" s="7"/>
      <c r="F697" s="7"/>
      <c r="G697" s="7"/>
      <c r="H697" s="7"/>
      <c r="I697" s="7"/>
      <c r="J697" s="7"/>
      <c r="K697" s="7"/>
      <c r="L697" s="7"/>
      <c r="M697" s="7"/>
      <c r="N697" s="7"/>
      <c r="O697" s="7"/>
      <c r="P697" s="7"/>
      <c r="Q697" s="7"/>
      <c r="R697" s="7"/>
      <c r="S697" s="7"/>
      <c r="T697" s="7"/>
      <c r="U697" s="7"/>
      <c r="V697" s="7"/>
      <c r="W697" s="7"/>
    </row>
    <row r="698" spans="1:23" ht="15.75" customHeight="1" x14ac:dyDescent="0.2">
      <c r="A698" s="7"/>
      <c r="B698" s="7"/>
      <c r="C698" s="7"/>
      <c r="D698" s="7"/>
      <c r="E698" s="7"/>
      <c r="F698" s="7"/>
      <c r="G698" s="7"/>
      <c r="H698" s="7"/>
      <c r="I698" s="7"/>
      <c r="J698" s="7"/>
      <c r="K698" s="7"/>
      <c r="L698" s="7"/>
      <c r="M698" s="7"/>
      <c r="N698" s="7"/>
      <c r="O698" s="7"/>
      <c r="P698" s="7"/>
      <c r="Q698" s="7"/>
      <c r="R698" s="7"/>
      <c r="S698" s="7"/>
      <c r="T698" s="7"/>
      <c r="U698" s="7"/>
      <c r="V698" s="7"/>
      <c r="W698" s="7"/>
    </row>
    <row r="699" spans="1:23" ht="15.75" customHeight="1" x14ac:dyDescent="0.2">
      <c r="A699" s="7"/>
      <c r="B699" s="7"/>
      <c r="C699" s="7"/>
      <c r="D699" s="7"/>
      <c r="E699" s="7"/>
      <c r="F699" s="7"/>
      <c r="G699" s="7"/>
      <c r="H699" s="7"/>
      <c r="I699" s="7"/>
      <c r="J699" s="7"/>
      <c r="K699" s="7"/>
      <c r="L699" s="7"/>
      <c r="M699" s="7"/>
      <c r="N699" s="7"/>
      <c r="O699" s="7"/>
      <c r="P699" s="7"/>
      <c r="Q699" s="7"/>
      <c r="R699" s="7"/>
      <c r="S699" s="7"/>
      <c r="T699" s="7"/>
      <c r="U699" s="7"/>
      <c r="V699" s="7"/>
      <c r="W699" s="7"/>
    </row>
    <row r="700" spans="1:23" ht="15.75" customHeight="1" x14ac:dyDescent="0.2">
      <c r="A700" s="7"/>
      <c r="B700" s="7"/>
      <c r="C700" s="7"/>
      <c r="D700" s="7"/>
      <c r="E700" s="7"/>
      <c r="F700" s="7"/>
      <c r="G700" s="7"/>
      <c r="H700" s="7"/>
      <c r="I700" s="7"/>
      <c r="J700" s="7"/>
      <c r="K700" s="7"/>
      <c r="L700" s="7"/>
      <c r="M700" s="7"/>
      <c r="N700" s="7"/>
      <c r="O700" s="7"/>
      <c r="P700" s="7"/>
      <c r="Q700" s="7"/>
      <c r="R700" s="7"/>
      <c r="S700" s="7"/>
      <c r="T700" s="7"/>
      <c r="U700" s="7"/>
      <c r="V700" s="7"/>
      <c r="W700" s="7"/>
    </row>
    <row r="701" spans="1:23" ht="15.75" customHeight="1" x14ac:dyDescent="0.2">
      <c r="A701" s="7"/>
      <c r="B701" s="7"/>
      <c r="C701" s="7"/>
      <c r="D701" s="7"/>
      <c r="E701" s="7"/>
      <c r="F701" s="7"/>
      <c r="G701" s="7"/>
      <c r="H701" s="7"/>
      <c r="I701" s="7"/>
      <c r="J701" s="7"/>
      <c r="K701" s="7"/>
      <c r="L701" s="7"/>
      <c r="M701" s="7"/>
      <c r="N701" s="7"/>
      <c r="O701" s="7"/>
      <c r="P701" s="7"/>
      <c r="Q701" s="7"/>
      <c r="R701" s="7"/>
      <c r="S701" s="7"/>
      <c r="T701" s="7"/>
      <c r="U701" s="7"/>
      <c r="V701" s="7"/>
      <c r="W701" s="7"/>
    </row>
    <row r="702" spans="1:23" ht="15.75" customHeight="1" x14ac:dyDescent="0.2">
      <c r="A702" s="7"/>
      <c r="B702" s="7"/>
      <c r="C702" s="7"/>
      <c r="D702" s="7"/>
      <c r="E702" s="7"/>
      <c r="F702" s="7"/>
      <c r="G702" s="7"/>
      <c r="H702" s="7"/>
      <c r="I702" s="7"/>
      <c r="J702" s="7"/>
      <c r="K702" s="7"/>
      <c r="L702" s="7"/>
      <c r="M702" s="7"/>
      <c r="N702" s="7"/>
      <c r="O702" s="7"/>
      <c r="P702" s="7"/>
      <c r="Q702" s="7"/>
      <c r="R702" s="7"/>
      <c r="S702" s="7"/>
      <c r="T702" s="7"/>
      <c r="U702" s="7"/>
      <c r="V702" s="7"/>
      <c r="W702" s="7"/>
    </row>
    <row r="703" spans="1:23" ht="15.75" customHeight="1" x14ac:dyDescent="0.2">
      <c r="A703" s="7"/>
      <c r="B703" s="7"/>
      <c r="C703" s="7"/>
      <c r="D703" s="7"/>
      <c r="E703" s="7"/>
      <c r="F703" s="7"/>
      <c r="G703" s="7"/>
      <c r="H703" s="7"/>
      <c r="I703" s="7"/>
      <c r="J703" s="7"/>
      <c r="K703" s="7"/>
      <c r="L703" s="7"/>
      <c r="M703" s="7"/>
      <c r="N703" s="7"/>
      <c r="O703" s="7"/>
      <c r="P703" s="7"/>
      <c r="Q703" s="7"/>
      <c r="R703" s="7"/>
      <c r="S703" s="7"/>
      <c r="T703" s="7"/>
      <c r="U703" s="7"/>
      <c r="V703" s="7"/>
      <c r="W703" s="7"/>
    </row>
    <row r="704" spans="1:23" ht="15.75" customHeight="1" x14ac:dyDescent="0.2">
      <c r="A704" s="7"/>
      <c r="B704" s="7"/>
      <c r="C704" s="7"/>
      <c r="D704" s="7"/>
      <c r="E704" s="7"/>
      <c r="F704" s="7"/>
      <c r="G704" s="7"/>
      <c r="H704" s="7"/>
      <c r="I704" s="7"/>
      <c r="J704" s="7"/>
      <c r="K704" s="7"/>
      <c r="L704" s="7"/>
      <c r="M704" s="7"/>
      <c r="N704" s="7"/>
      <c r="O704" s="7"/>
      <c r="P704" s="7"/>
      <c r="Q704" s="7"/>
      <c r="R704" s="7"/>
      <c r="S704" s="7"/>
      <c r="T704" s="7"/>
      <c r="U704" s="7"/>
      <c r="V704" s="7"/>
      <c r="W704" s="7"/>
    </row>
    <row r="705" spans="1:23" ht="15.75" customHeight="1" x14ac:dyDescent="0.2">
      <c r="A705" s="7"/>
      <c r="B705" s="7"/>
      <c r="C705" s="7"/>
      <c r="D705" s="7"/>
      <c r="E705" s="7"/>
      <c r="F705" s="7"/>
      <c r="G705" s="7"/>
      <c r="H705" s="7"/>
      <c r="I705" s="7"/>
      <c r="J705" s="7"/>
      <c r="K705" s="7"/>
      <c r="L705" s="7"/>
      <c r="M705" s="7"/>
      <c r="N705" s="7"/>
      <c r="O705" s="7"/>
      <c r="P705" s="7"/>
      <c r="Q705" s="7"/>
      <c r="R705" s="7"/>
      <c r="S705" s="7"/>
      <c r="T705" s="7"/>
      <c r="U705" s="7"/>
      <c r="V705" s="7"/>
      <c r="W705" s="7"/>
    </row>
    <row r="706" spans="1:23" ht="15.75" customHeight="1" x14ac:dyDescent="0.2">
      <c r="A706" s="7"/>
      <c r="B706" s="7"/>
      <c r="C706" s="7"/>
      <c r="D706" s="7"/>
      <c r="E706" s="7"/>
      <c r="F706" s="7"/>
      <c r="G706" s="7"/>
      <c r="H706" s="7"/>
      <c r="I706" s="7"/>
      <c r="J706" s="7"/>
      <c r="K706" s="7"/>
      <c r="L706" s="7"/>
      <c r="M706" s="7"/>
      <c r="N706" s="7"/>
      <c r="O706" s="7"/>
      <c r="P706" s="7"/>
      <c r="Q706" s="7"/>
      <c r="R706" s="7"/>
      <c r="S706" s="7"/>
      <c r="T706" s="7"/>
      <c r="U706" s="7"/>
      <c r="V706" s="7"/>
      <c r="W706" s="7"/>
    </row>
    <row r="707" spans="1:23" ht="15.75" customHeight="1" x14ac:dyDescent="0.2">
      <c r="A707" s="7"/>
      <c r="B707" s="7"/>
      <c r="C707" s="7"/>
      <c r="D707" s="7"/>
      <c r="E707" s="7"/>
      <c r="F707" s="7"/>
      <c r="G707" s="7"/>
      <c r="H707" s="7"/>
      <c r="I707" s="7"/>
      <c r="J707" s="7"/>
      <c r="K707" s="7"/>
      <c r="L707" s="7"/>
      <c r="M707" s="7"/>
      <c r="N707" s="7"/>
      <c r="O707" s="7"/>
      <c r="P707" s="7"/>
      <c r="Q707" s="7"/>
      <c r="R707" s="7"/>
      <c r="S707" s="7"/>
      <c r="T707" s="7"/>
      <c r="U707" s="7"/>
      <c r="V707" s="7"/>
      <c r="W707" s="7"/>
    </row>
    <row r="708" spans="1:23" ht="15.75" customHeight="1" x14ac:dyDescent="0.2">
      <c r="A708" s="7"/>
      <c r="B708" s="7"/>
      <c r="C708" s="7"/>
      <c r="D708" s="7"/>
      <c r="E708" s="7"/>
      <c r="F708" s="7"/>
      <c r="G708" s="7"/>
      <c r="H708" s="7"/>
      <c r="I708" s="7"/>
      <c r="J708" s="7"/>
      <c r="K708" s="7"/>
      <c r="L708" s="7"/>
      <c r="M708" s="7"/>
      <c r="N708" s="7"/>
      <c r="O708" s="7"/>
      <c r="P708" s="7"/>
      <c r="Q708" s="7"/>
      <c r="R708" s="7"/>
      <c r="S708" s="7"/>
      <c r="T708" s="7"/>
      <c r="U708" s="7"/>
      <c r="V708" s="7"/>
      <c r="W708" s="7"/>
    </row>
    <row r="709" spans="1:23" ht="15.75" customHeight="1" x14ac:dyDescent="0.2">
      <c r="A709" s="7"/>
      <c r="B709" s="7"/>
      <c r="C709" s="7"/>
      <c r="D709" s="7"/>
      <c r="E709" s="7"/>
      <c r="F709" s="7"/>
      <c r="G709" s="7"/>
      <c r="H709" s="7"/>
      <c r="I709" s="7"/>
      <c r="J709" s="7"/>
      <c r="K709" s="7"/>
      <c r="L709" s="7"/>
      <c r="M709" s="7"/>
      <c r="N709" s="7"/>
      <c r="O709" s="7"/>
      <c r="P709" s="7"/>
      <c r="Q709" s="7"/>
      <c r="R709" s="7"/>
      <c r="S709" s="7"/>
      <c r="T709" s="7"/>
      <c r="U709" s="7"/>
      <c r="V709" s="7"/>
      <c r="W709" s="7"/>
    </row>
    <row r="710" spans="1:23" ht="15.75" customHeight="1" x14ac:dyDescent="0.2">
      <c r="A710" s="7"/>
      <c r="B710" s="7"/>
      <c r="C710" s="7"/>
      <c r="D710" s="7"/>
      <c r="E710" s="7"/>
      <c r="F710" s="7"/>
      <c r="G710" s="7"/>
      <c r="H710" s="7"/>
      <c r="I710" s="7"/>
      <c r="J710" s="7"/>
      <c r="K710" s="7"/>
      <c r="L710" s="7"/>
      <c r="M710" s="7"/>
      <c r="N710" s="7"/>
      <c r="O710" s="7"/>
      <c r="P710" s="7"/>
      <c r="Q710" s="7"/>
      <c r="R710" s="7"/>
      <c r="S710" s="7"/>
      <c r="T710" s="7"/>
      <c r="U710" s="7"/>
      <c r="V710" s="7"/>
      <c r="W710" s="7"/>
    </row>
    <row r="711" spans="1:23" ht="15.75" customHeight="1" x14ac:dyDescent="0.2">
      <c r="A711" s="7"/>
      <c r="B711" s="7"/>
      <c r="C711" s="7"/>
      <c r="D711" s="7"/>
      <c r="E711" s="7"/>
      <c r="F711" s="7"/>
      <c r="G711" s="7"/>
      <c r="H711" s="7"/>
      <c r="I711" s="7"/>
      <c r="J711" s="7"/>
      <c r="K711" s="7"/>
      <c r="L711" s="7"/>
      <c r="M711" s="7"/>
      <c r="N711" s="7"/>
      <c r="O711" s="7"/>
      <c r="P711" s="7"/>
      <c r="Q711" s="7"/>
      <c r="R711" s="7"/>
      <c r="S711" s="7"/>
      <c r="T711" s="7"/>
      <c r="U711" s="7"/>
      <c r="V711" s="7"/>
      <c r="W711" s="7"/>
    </row>
    <row r="712" spans="1:23" ht="15.75" customHeight="1" x14ac:dyDescent="0.2">
      <c r="A712" s="7"/>
      <c r="B712" s="7"/>
      <c r="C712" s="7"/>
      <c r="D712" s="7"/>
      <c r="E712" s="7"/>
      <c r="F712" s="7"/>
      <c r="G712" s="7"/>
      <c r="H712" s="7"/>
      <c r="I712" s="7"/>
      <c r="J712" s="7"/>
      <c r="K712" s="7"/>
      <c r="L712" s="7"/>
      <c r="M712" s="7"/>
      <c r="N712" s="7"/>
      <c r="O712" s="7"/>
      <c r="P712" s="7"/>
      <c r="Q712" s="7"/>
      <c r="R712" s="7"/>
      <c r="S712" s="7"/>
      <c r="T712" s="7"/>
      <c r="U712" s="7"/>
      <c r="V712" s="7"/>
      <c r="W712" s="7"/>
    </row>
    <row r="713" spans="1:23" ht="15.75" customHeight="1" x14ac:dyDescent="0.2">
      <c r="A713" s="7"/>
      <c r="B713" s="7"/>
      <c r="C713" s="7"/>
      <c r="D713" s="7"/>
      <c r="E713" s="7"/>
      <c r="F713" s="7"/>
      <c r="G713" s="7"/>
      <c r="H713" s="7"/>
      <c r="I713" s="7"/>
      <c r="J713" s="7"/>
      <c r="K713" s="7"/>
      <c r="L713" s="7"/>
      <c r="M713" s="7"/>
      <c r="N713" s="7"/>
      <c r="O713" s="7"/>
      <c r="P713" s="7"/>
      <c r="Q713" s="7"/>
      <c r="R713" s="7"/>
      <c r="S713" s="7"/>
      <c r="T713" s="7"/>
      <c r="U713" s="7"/>
      <c r="V713" s="7"/>
      <c r="W713" s="7"/>
    </row>
    <row r="714" spans="1:23" ht="15.75" customHeight="1" x14ac:dyDescent="0.2">
      <c r="A714" s="7"/>
      <c r="B714" s="7"/>
      <c r="C714" s="7"/>
      <c r="D714" s="7"/>
      <c r="E714" s="7"/>
      <c r="F714" s="7"/>
      <c r="G714" s="7"/>
      <c r="H714" s="7"/>
      <c r="I714" s="7"/>
      <c r="J714" s="7"/>
      <c r="K714" s="7"/>
      <c r="L714" s="7"/>
      <c r="M714" s="7"/>
      <c r="N714" s="7"/>
      <c r="O714" s="7"/>
      <c r="P714" s="7"/>
      <c r="Q714" s="7"/>
      <c r="R714" s="7"/>
      <c r="S714" s="7"/>
      <c r="T714" s="7"/>
      <c r="U714" s="7"/>
      <c r="V714" s="7"/>
      <c r="W714" s="7"/>
    </row>
    <row r="715" spans="1:23" ht="15.75" customHeight="1" x14ac:dyDescent="0.2">
      <c r="A715" s="7"/>
      <c r="B715" s="7"/>
      <c r="C715" s="7"/>
      <c r="D715" s="7"/>
      <c r="E715" s="7"/>
      <c r="F715" s="7"/>
      <c r="G715" s="7"/>
      <c r="H715" s="7"/>
      <c r="I715" s="7"/>
      <c r="J715" s="7"/>
      <c r="K715" s="7"/>
      <c r="L715" s="7"/>
      <c r="M715" s="7"/>
      <c r="N715" s="7"/>
      <c r="O715" s="7"/>
      <c r="P715" s="7"/>
      <c r="Q715" s="7"/>
      <c r="R715" s="7"/>
      <c r="S715" s="7"/>
      <c r="T715" s="7"/>
      <c r="U715" s="7"/>
      <c r="V715" s="7"/>
      <c r="W715" s="7"/>
    </row>
    <row r="716" spans="1:23" ht="15.75" customHeight="1" x14ac:dyDescent="0.2">
      <c r="A716" s="7"/>
      <c r="B716" s="7"/>
      <c r="C716" s="7"/>
      <c r="D716" s="7"/>
      <c r="E716" s="7"/>
      <c r="F716" s="7"/>
      <c r="G716" s="7"/>
      <c r="H716" s="7"/>
      <c r="I716" s="7"/>
      <c r="J716" s="7"/>
      <c r="K716" s="7"/>
      <c r="L716" s="7"/>
      <c r="M716" s="7"/>
      <c r="N716" s="7"/>
      <c r="O716" s="7"/>
      <c r="P716" s="7"/>
      <c r="Q716" s="7"/>
      <c r="R716" s="7"/>
      <c r="S716" s="7"/>
      <c r="T716" s="7"/>
      <c r="U716" s="7"/>
      <c r="V716" s="7"/>
      <c r="W716" s="7"/>
    </row>
    <row r="717" spans="1:23" ht="15.75" customHeight="1" x14ac:dyDescent="0.2">
      <c r="A717" s="7"/>
      <c r="B717" s="7"/>
      <c r="C717" s="7"/>
      <c r="D717" s="7"/>
      <c r="E717" s="7"/>
      <c r="F717" s="7"/>
      <c r="G717" s="7"/>
      <c r="H717" s="7"/>
      <c r="I717" s="7"/>
      <c r="J717" s="7"/>
      <c r="K717" s="7"/>
      <c r="L717" s="7"/>
      <c r="M717" s="7"/>
      <c r="N717" s="7"/>
      <c r="O717" s="7"/>
      <c r="P717" s="7"/>
      <c r="Q717" s="7"/>
      <c r="R717" s="7"/>
      <c r="S717" s="7"/>
      <c r="T717" s="7"/>
      <c r="U717" s="7"/>
      <c r="V717" s="7"/>
      <c r="W717" s="7"/>
    </row>
    <row r="718" spans="1:23" ht="15.75" customHeight="1" x14ac:dyDescent="0.2">
      <c r="A718" s="7"/>
      <c r="B718" s="7"/>
      <c r="C718" s="7"/>
      <c r="D718" s="7"/>
      <c r="E718" s="7"/>
      <c r="F718" s="7"/>
      <c r="G718" s="7"/>
      <c r="H718" s="7"/>
      <c r="I718" s="7"/>
      <c r="J718" s="7"/>
      <c r="K718" s="7"/>
      <c r="L718" s="7"/>
      <c r="M718" s="7"/>
      <c r="N718" s="7"/>
      <c r="O718" s="7"/>
      <c r="P718" s="7"/>
      <c r="Q718" s="7"/>
      <c r="R718" s="7"/>
      <c r="S718" s="7"/>
      <c r="T718" s="7"/>
      <c r="U718" s="7"/>
      <c r="V718" s="7"/>
      <c r="W718" s="7"/>
    </row>
    <row r="719" spans="1:23" ht="15.75" customHeight="1" x14ac:dyDescent="0.2">
      <c r="A719" s="7"/>
      <c r="B719" s="7"/>
      <c r="C719" s="7"/>
      <c r="D719" s="7"/>
      <c r="E719" s="7"/>
      <c r="F719" s="7"/>
      <c r="G719" s="7"/>
      <c r="H719" s="7"/>
      <c r="I719" s="7"/>
      <c r="J719" s="7"/>
      <c r="K719" s="7"/>
      <c r="L719" s="7"/>
      <c r="M719" s="7"/>
      <c r="N719" s="7"/>
      <c r="O719" s="7"/>
      <c r="P719" s="7"/>
      <c r="Q719" s="7"/>
      <c r="R719" s="7"/>
      <c r="S719" s="7"/>
      <c r="T719" s="7"/>
      <c r="U719" s="7"/>
      <c r="V719" s="7"/>
      <c r="W719" s="7"/>
    </row>
    <row r="720" spans="1:23" ht="15.75" customHeight="1" x14ac:dyDescent="0.2">
      <c r="A720" s="7"/>
      <c r="B720" s="7"/>
      <c r="C720" s="7"/>
      <c r="D720" s="7"/>
      <c r="E720" s="7"/>
      <c r="F720" s="7"/>
      <c r="G720" s="7"/>
      <c r="H720" s="7"/>
      <c r="I720" s="7"/>
      <c r="J720" s="7"/>
      <c r="K720" s="7"/>
      <c r="L720" s="7"/>
      <c r="M720" s="7"/>
      <c r="N720" s="7"/>
      <c r="O720" s="7"/>
      <c r="P720" s="7"/>
      <c r="Q720" s="7"/>
      <c r="R720" s="7"/>
      <c r="S720" s="7"/>
      <c r="T720" s="7"/>
      <c r="U720" s="7"/>
      <c r="V720" s="7"/>
      <c r="W720" s="7"/>
    </row>
    <row r="721" spans="1:23" ht="15.75" customHeight="1" x14ac:dyDescent="0.2">
      <c r="A721" s="7"/>
      <c r="B721" s="7"/>
      <c r="C721" s="7"/>
      <c r="D721" s="7"/>
      <c r="E721" s="7"/>
      <c r="F721" s="7"/>
      <c r="G721" s="7"/>
      <c r="H721" s="7"/>
      <c r="I721" s="7"/>
      <c r="J721" s="7"/>
      <c r="K721" s="7"/>
      <c r="L721" s="7"/>
      <c r="M721" s="7"/>
      <c r="N721" s="7"/>
      <c r="O721" s="7"/>
      <c r="P721" s="7"/>
      <c r="Q721" s="7"/>
      <c r="R721" s="7"/>
      <c r="S721" s="7"/>
      <c r="T721" s="7"/>
      <c r="U721" s="7"/>
      <c r="V721" s="7"/>
      <c r="W721" s="7"/>
    </row>
    <row r="722" spans="1:23" ht="15.75" customHeight="1" x14ac:dyDescent="0.2">
      <c r="A722" s="7"/>
      <c r="B722" s="7"/>
      <c r="C722" s="7"/>
      <c r="D722" s="7"/>
      <c r="E722" s="7"/>
      <c r="F722" s="7"/>
      <c r="G722" s="7"/>
      <c r="H722" s="7"/>
      <c r="I722" s="7"/>
      <c r="J722" s="7"/>
      <c r="K722" s="7"/>
      <c r="L722" s="7"/>
      <c r="M722" s="7"/>
      <c r="N722" s="7"/>
      <c r="O722" s="7"/>
      <c r="P722" s="7"/>
      <c r="Q722" s="7"/>
      <c r="R722" s="7"/>
      <c r="S722" s="7"/>
      <c r="T722" s="7"/>
      <c r="U722" s="7"/>
      <c r="V722" s="7"/>
      <c r="W722" s="7"/>
    </row>
    <row r="723" spans="1:23" ht="15.75" customHeight="1" x14ac:dyDescent="0.2">
      <c r="A723" s="7"/>
      <c r="B723" s="7"/>
      <c r="C723" s="7"/>
      <c r="D723" s="7"/>
      <c r="E723" s="7"/>
      <c r="F723" s="7"/>
      <c r="G723" s="7"/>
      <c r="H723" s="7"/>
      <c r="I723" s="7"/>
      <c r="J723" s="7"/>
      <c r="K723" s="7"/>
      <c r="L723" s="7"/>
      <c r="M723" s="7"/>
      <c r="N723" s="7"/>
      <c r="O723" s="7"/>
      <c r="P723" s="7"/>
      <c r="Q723" s="7"/>
      <c r="R723" s="7"/>
      <c r="S723" s="7"/>
      <c r="T723" s="7"/>
      <c r="U723" s="7"/>
      <c r="V723" s="7"/>
      <c r="W723" s="7"/>
    </row>
    <row r="724" spans="1:23" ht="15.75" customHeight="1" x14ac:dyDescent="0.2">
      <c r="A724" s="7"/>
      <c r="B724" s="7"/>
      <c r="C724" s="7"/>
      <c r="D724" s="7"/>
      <c r="E724" s="7"/>
      <c r="F724" s="7"/>
      <c r="G724" s="7"/>
      <c r="H724" s="7"/>
      <c r="I724" s="7"/>
      <c r="J724" s="7"/>
      <c r="K724" s="7"/>
      <c r="L724" s="7"/>
      <c r="M724" s="7"/>
      <c r="N724" s="7"/>
      <c r="O724" s="7"/>
      <c r="P724" s="7"/>
      <c r="Q724" s="7"/>
      <c r="R724" s="7"/>
      <c r="S724" s="7"/>
      <c r="T724" s="7"/>
      <c r="U724" s="7"/>
      <c r="V724" s="7"/>
      <c r="W724" s="7"/>
    </row>
    <row r="725" spans="1:23" ht="15.75" customHeight="1" x14ac:dyDescent="0.2">
      <c r="A725" s="7"/>
      <c r="B725" s="7"/>
      <c r="C725" s="7"/>
      <c r="D725" s="7"/>
      <c r="E725" s="7"/>
      <c r="F725" s="7"/>
      <c r="G725" s="7"/>
      <c r="H725" s="7"/>
      <c r="I725" s="7"/>
      <c r="J725" s="7"/>
      <c r="K725" s="7"/>
      <c r="L725" s="7"/>
      <c r="M725" s="7"/>
      <c r="N725" s="7"/>
      <c r="O725" s="7"/>
      <c r="P725" s="7"/>
      <c r="Q725" s="7"/>
      <c r="R725" s="7"/>
      <c r="S725" s="7"/>
      <c r="T725" s="7"/>
      <c r="U725" s="7"/>
      <c r="V725" s="7"/>
      <c r="W725" s="7"/>
    </row>
    <row r="726" spans="1:23" ht="15.75" customHeight="1" x14ac:dyDescent="0.2">
      <c r="A726" s="7"/>
      <c r="B726" s="7"/>
      <c r="C726" s="7"/>
      <c r="D726" s="7"/>
      <c r="E726" s="7"/>
      <c r="F726" s="7"/>
      <c r="G726" s="7"/>
      <c r="H726" s="7"/>
      <c r="I726" s="7"/>
      <c r="J726" s="7"/>
      <c r="K726" s="7"/>
      <c r="L726" s="7"/>
      <c r="M726" s="7"/>
      <c r="N726" s="7"/>
      <c r="O726" s="7"/>
      <c r="P726" s="7"/>
      <c r="Q726" s="7"/>
      <c r="R726" s="7"/>
      <c r="S726" s="7"/>
      <c r="T726" s="7"/>
      <c r="U726" s="7"/>
      <c r="V726" s="7"/>
      <c r="W726" s="7"/>
    </row>
    <row r="727" spans="1:23" ht="15.75" customHeight="1" x14ac:dyDescent="0.2">
      <c r="A727" s="7"/>
      <c r="B727" s="7"/>
      <c r="C727" s="7"/>
      <c r="D727" s="7"/>
      <c r="E727" s="7"/>
      <c r="F727" s="7"/>
      <c r="G727" s="7"/>
      <c r="H727" s="7"/>
      <c r="I727" s="7"/>
      <c r="J727" s="7"/>
      <c r="K727" s="7"/>
      <c r="L727" s="7"/>
      <c r="M727" s="7"/>
      <c r="N727" s="7"/>
      <c r="O727" s="7"/>
      <c r="P727" s="7"/>
      <c r="Q727" s="7"/>
      <c r="R727" s="7"/>
      <c r="S727" s="7"/>
      <c r="T727" s="7"/>
      <c r="U727" s="7"/>
      <c r="V727" s="7"/>
      <c r="W727" s="7"/>
    </row>
    <row r="728" spans="1:23" ht="15.75" customHeight="1" x14ac:dyDescent="0.2">
      <c r="A728" s="7"/>
      <c r="B728" s="7"/>
      <c r="C728" s="7"/>
      <c r="D728" s="7"/>
      <c r="E728" s="7"/>
      <c r="F728" s="7"/>
      <c r="G728" s="7"/>
      <c r="H728" s="7"/>
      <c r="I728" s="7"/>
      <c r="J728" s="7"/>
      <c r="K728" s="7"/>
      <c r="L728" s="7"/>
      <c r="M728" s="7"/>
      <c r="N728" s="7"/>
      <c r="O728" s="7"/>
      <c r="P728" s="7"/>
      <c r="Q728" s="7"/>
      <c r="R728" s="7"/>
      <c r="S728" s="7"/>
      <c r="T728" s="7"/>
      <c r="U728" s="7"/>
      <c r="V728" s="7"/>
      <c r="W728" s="7"/>
    </row>
    <row r="729" spans="1:23" ht="15.75" customHeight="1" x14ac:dyDescent="0.2">
      <c r="A729" s="7"/>
      <c r="B729" s="7"/>
      <c r="C729" s="7"/>
      <c r="D729" s="7"/>
      <c r="E729" s="7"/>
      <c r="F729" s="7"/>
      <c r="G729" s="7"/>
      <c r="H729" s="7"/>
      <c r="I729" s="7"/>
      <c r="J729" s="7"/>
      <c r="K729" s="7"/>
      <c r="L729" s="7"/>
      <c r="M729" s="7"/>
      <c r="N729" s="7"/>
      <c r="O729" s="7"/>
      <c r="P729" s="7"/>
      <c r="Q729" s="7"/>
      <c r="R729" s="7"/>
      <c r="S729" s="7"/>
      <c r="T729" s="7"/>
      <c r="U729" s="7"/>
      <c r="V729" s="7"/>
      <c r="W729" s="7"/>
    </row>
    <row r="730" spans="1:23" ht="15.75" customHeight="1" x14ac:dyDescent="0.2">
      <c r="A730" s="7"/>
      <c r="B730" s="7"/>
      <c r="C730" s="7"/>
      <c r="D730" s="7"/>
      <c r="E730" s="7"/>
      <c r="F730" s="7"/>
      <c r="G730" s="7"/>
      <c r="H730" s="7"/>
      <c r="I730" s="7"/>
      <c r="J730" s="7"/>
      <c r="K730" s="7"/>
      <c r="L730" s="7"/>
      <c r="M730" s="7"/>
      <c r="N730" s="7"/>
      <c r="O730" s="7"/>
      <c r="P730" s="7"/>
      <c r="Q730" s="7"/>
      <c r="R730" s="7"/>
      <c r="S730" s="7"/>
      <c r="T730" s="7"/>
      <c r="U730" s="7"/>
      <c r="V730" s="7"/>
      <c r="W730" s="7"/>
    </row>
    <row r="731" spans="1:23" ht="15.75" customHeight="1" x14ac:dyDescent="0.2">
      <c r="A731" s="7"/>
      <c r="B731" s="7"/>
      <c r="C731" s="7"/>
      <c r="D731" s="7"/>
      <c r="E731" s="7"/>
      <c r="F731" s="7"/>
      <c r="G731" s="7"/>
      <c r="H731" s="7"/>
      <c r="I731" s="7"/>
      <c r="J731" s="7"/>
      <c r="K731" s="7"/>
      <c r="L731" s="7"/>
      <c r="M731" s="7"/>
      <c r="N731" s="7"/>
      <c r="O731" s="7"/>
      <c r="P731" s="7"/>
      <c r="Q731" s="7"/>
      <c r="R731" s="7"/>
      <c r="S731" s="7"/>
      <c r="T731" s="7"/>
      <c r="U731" s="7"/>
      <c r="V731" s="7"/>
      <c r="W731" s="7"/>
    </row>
    <row r="732" spans="1:23" ht="15.75" customHeight="1" x14ac:dyDescent="0.2">
      <c r="A732" s="7"/>
      <c r="B732" s="7"/>
      <c r="C732" s="7"/>
      <c r="D732" s="7"/>
      <c r="E732" s="7"/>
      <c r="F732" s="7"/>
      <c r="G732" s="7"/>
      <c r="H732" s="7"/>
      <c r="I732" s="7"/>
      <c r="J732" s="7"/>
      <c r="K732" s="7"/>
      <c r="L732" s="7"/>
      <c r="M732" s="7"/>
      <c r="N732" s="7"/>
      <c r="O732" s="7"/>
      <c r="P732" s="7"/>
      <c r="Q732" s="7"/>
      <c r="R732" s="7"/>
      <c r="S732" s="7"/>
      <c r="T732" s="7"/>
      <c r="U732" s="7"/>
      <c r="V732" s="7"/>
      <c r="W732" s="7"/>
    </row>
    <row r="733" spans="1:23" ht="15.75" customHeight="1" x14ac:dyDescent="0.2">
      <c r="A733" s="7"/>
      <c r="B733" s="7"/>
      <c r="C733" s="7"/>
      <c r="D733" s="7"/>
      <c r="E733" s="7"/>
      <c r="F733" s="7"/>
      <c r="G733" s="7"/>
      <c r="H733" s="7"/>
      <c r="I733" s="7"/>
      <c r="J733" s="7"/>
      <c r="K733" s="7"/>
      <c r="L733" s="7"/>
      <c r="M733" s="7"/>
      <c r="N733" s="7"/>
      <c r="O733" s="7"/>
      <c r="P733" s="7"/>
      <c r="Q733" s="7"/>
      <c r="R733" s="7"/>
      <c r="S733" s="7"/>
      <c r="T733" s="7"/>
      <c r="U733" s="7"/>
      <c r="V733" s="7"/>
      <c r="W733" s="7"/>
    </row>
    <row r="734" spans="1:23" ht="15.75" customHeight="1" x14ac:dyDescent="0.2">
      <c r="A734" s="7"/>
      <c r="B734" s="7"/>
      <c r="C734" s="7"/>
      <c r="D734" s="7"/>
      <c r="E734" s="7"/>
      <c r="F734" s="7"/>
      <c r="G734" s="7"/>
      <c r="H734" s="7"/>
      <c r="I734" s="7"/>
      <c r="J734" s="7"/>
      <c r="K734" s="7"/>
      <c r="L734" s="7"/>
      <c r="M734" s="7"/>
      <c r="N734" s="7"/>
      <c r="O734" s="7"/>
      <c r="P734" s="7"/>
      <c r="Q734" s="7"/>
      <c r="R734" s="7"/>
      <c r="S734" s="7"/>
      <c r="T734" s="7"/>
      <c r="U734" s="7"/>
      <c r="V734" s="7"/>
      <c r="W734" s="7"/>
    </row>
    <row r="735" spans="1:23" ht="15.75" customHeight="1" x14ac:dyDescent="0.2">
      <c r="A735" s="7"/>
      <c r="B735" s="7"/>
      <c r="C735" s="7"/>
      <c r="D735" s="7"/>
      <c r="E735" s="7"/>
      <c r="F735" s="7"/>
      <c r="G735" s="7"/>
      <c r="H735" s="7"/>
      <c r="I735" s="7"/>
      <c r="J735" s="7"/>
      <c r="K735" s="7"/>
      <c r="L735" s="7"/>
      <c r="M735" s="7"/>
      <c r="N735" s="7"/>
      <c r="O735" s="7"/>
      <c r="P735" s="7"/>
      <c r="Q735" s="7"/>
      <c r="R735" s="7"/>
      <c r="S735" s="7"/>
      <c r="T735" s="7"/>
      <c r="U735" s="7"/>
      <c r="V735" s="7"/>
      <c r="W735" s="7"/>
    </row>
    <row r="736" spans="1:23" ht="15.75" customHeight="1" x14ac:dyDescent="0.2">
      <c r="A736" s="7"/>
      <c r="B736" s="7"/>
      <c r="C736" s="7"/>
      <c r="D736" s="7"/>
      <c r="E736" s="7"/>
      <c r="F736" s="7"/>
      <c r="G736" s="7"/>
      <c r="H736" s="7"/>
      <c r="I736" s="7"/>
      <c r="J736" s="7"/>
      <c r="K736" s="7"/>
      <c r="L736" s="7"/>
      <c r="M736" s="7"/>
      <c r="N736" s="7"/>
      <c r="O736" s="7"/>
      <c r="P736" s="7"/>
      <c r="Q736" s="7"/>
      <c r="R736" s="7"/>
      <c r="S736" s="7"/>
      <c r="T736" s="7"/>
      <c r="U736" s="7"/>
      <c r="V736" s="7"/>
      <c r="W736" s="7"/>
    </row>
    <row r="737" spans="1:23" ht="15.75" customHeight="1" x14ac:dyDescent="0.2">
      <c r="A737" s="7"/>
      <c r="B737" s="7"/>
      <c r="C737" s="7"/>
      <c r="D737" s="7"/>
      <c r="E737" s="7"/>
      <c r="F737" s="7"/>
      <c r="G737" s="7"/>
      <c r="H737" s="7"/>
      <c r="I737" s="7"/>
      <c r="J737" s="7"/>
      <c r="K737" s="7"/>
      <c r="L737" s="7"/>
      <c r="M737" s="7"/>
      <c r="N737" s="7"/>
      <c r="O737" s="7"/>
      <c r="P737" s="7"/>
      <c r="Q737" s="7"/>
      <c r="R737" s="7"/>
      <c r="S737" s="7"/>
      <c r="T737" s="7"/>
      <c r="U737" s="7"/>
      <c r="V737" s="7"/>
      <c r="W737" s="7"/>
    </row>
    <row r="738" spans="1:23" ht="15.75" customHeight="1" x14ac:dyDescent="0.2">
      <c r="A738" s="7"/>
      <c r="B738" s="7"/>
      <c r="C738" s="7"/>
      <c r="D738" s="7"/>
      <c r="E738" s="7"/>
      <c r="F738" s="7"/>
      <c r="G738" s="7"/>
      <c r="H738" s="7"/>
      <c r="I738" s="7"/>
      <c r="J738" s="7"/>
      <c r="K738" s="7"/>
      <c r="L738" s="7"/>
      <c r="M738" s="7"/>
      <c r="N738" s="7"/>
      <c r="O738" s="7"/>
      <c r="P738" s="7"/>
      <c r="Q738" s="7"/>
      <c r="R738" s="7"/>
      <c r="S738" s="7"/>
      <c r="T738" s="7"/>
      <c r="U738" s="7"/>
      <c r="V738" s="7"/>
      <c r="W738" s="7"/>
    </row>
    <row r="739" spans="1:23" ht="15.75" customHeight="1" x14ac:dyDescent="0.2">
      <c r="A739" s="7"/>
      <c r="B739" s="7"/>
      <c r="C739" s="7"/>
      <c r="D739" s="7"/>
      <c r="E739" s="7"/>
      <c r="F739" s="7"/>
      <c r="G739" s="7"/>
      <c r="H739" s="7"/>
      <c r="I739" s="7"/>
      <c r="J739" s="7"/>
      <c r="K739" s="7"/>
      <c r="L739" s="7"/>
      <c r="M739" s="7"/>
      <c r="N739" s="7"/>
      <c r="O739" s="7"/>
      <c r="P739" s="7"/>
      <c r="Q739" s="7"/>
      <c r="R739" s="7"/>
      <c r="S739" s="7"/>
      <c r="T739" s="7"/>
      <c r="U739" s="7"/>
      <c r="V739" s="7"/>
      <c r="W739" s="7"/>
    </row>
    <row r="740" spans="1:23" ht="15.75" customHeight="1" x14ac:dyDescent="0.2">
      <c r="A740" s="7"/>
      <c r="B740" s="7"/>
      <c r="C740" s="7"/>
      <c r="D740" s="7"/>
      <c r="E740" s="7"/>
      <c r="F740" s="7"/>
      <c r="G740" s="7"/>
      <c r="H740" s="7"/>
      <c r="I740" s="7"/>
      <c r="J740" s="7"/>
      <c r="K740" s="7"/>
      <c r="L740" s="7"/>
      <c r="M740" s="7"/>
      <c r="N740" s="7"/>
      <c r="O740" s="7"/>
      <c r="P740" s="7"/>
      <c r="Q740" s="7"/>
      <c r="R740" s="7"/>
      <c r="S740" s="7"/>
      <c r="T740" s="7"/>
      <c r="U740" s="7"/>
      <c r="V740" s="7"/>
      <c r="W740" s="7"/>
    </row>
    <row r="741" spans="1:23" ht="15.75" customHeight="1" x14ac:dyDescent="0.2">
      <c r="A741" s="7"/>
      <c r="B741" s="7"/>
      <c r="C741" s="7"/>
      <c r="D741" s="7"/>
      <c r="E741" s="7"/>
      <c r="F741" s="7"/>
      <c r="G741" s="7"/>
      <c r="H741" s="7"/>
      <c r="I741" s="7"/>
      <c r="J741" s="7"/>
      <c r="K741" s="7"/>
      <c r="L741" s="7"/>
      <c r="M741" s="7"/>
      <c r="N741" s="7"/>
      <c r="O741" s="7"/>
      <c r="P741" s="7"/>
      <c r="Q741" s="7"/>
      <c r="R741" s="7"/>
      <c r="S741" s="7"/>
      <c r="T741" s="7"/>
      <c r="U741" s="7"/>
      <c r="V741" s="7"/>
      <c r="W741" s="7"/>
    </row>
    <row r="742" spans="1:23" ht="15.75" customHeight="1" x14ac:dyDescent="0.2">
      <c r="A742" s="7"/>
      <c r="B742" s="7"/>
      <c r="C742" s="7"/>
      <c r="D742" s="7"/>
      <c r="E742" s="7"/>
      <c r="F742" s="7"/>
      <c r="G742" s="7"/>
      <c r="H742" s="7"/>
      <c r="I742" s="7"/>
      <c r="J742" s="7"/>
      <c r="K742" s="7"/>
      <c r="L742" s="7"/>
      <c r="M742" s="7"/>
      <c r="N742" s="7"/>
      <c r="O742" s="7"/>
      <c r="P742" s="7"/>
      <c r="Q742" s="7"/>
      <c r="R742" s="7"/>
      <c r="S742" s="7"/>
      <c r="T742" s="7"/>
      <c r="U742" s="7"/>
      <c r="V742" s="7"/>
      <c r="W742" s="7"/>
    </row>
    <row r="743" spans="1:23" ht="15.75" customHeight="1" x14ac:dyDescent="0.2">
      <c r="A743" s="7"/>
      <c r="B743" s="7"/>
      <c r="C743" s="7"/>
      <c r="D743" s="7"/>
      <c r="E743" s="7"/>
      <c r="F743" s="7"/>
      <c r="G743" s="7"/>
      <c r="H743" s="7"/>
      <c r="I743" s="7"/>
      <c r="J743" s="7"/>
      <c r="K743" s="7"/>
      <c r="L743" s="7"/>
      <c r="M743" s="7"/>
      <c r="N743" s="7"/>
      <c r="O743" s="7"/>
      <c r="P743" s="7"/>
      <c r="Q743" s="7"/>
      <c r="R743" s="7"/>
      <c r="S743" s="7"/>
      <c r="T743" s="7"/>
      <c r="U743" s="7"/>
      <c r="V743" s="7"/>
      <c r="W743" s="7"/>
    </row>
    <row r="744" spans="1:23" ht="15.75" customHeight="1" x14ac:dyDescent="0.2">
      <c r="A744" s="7"/>
      <c r="B744" s="7"/>
      <c r="C744" s="7"/>
      <c r="D744" s="7"/>
      <c r="E744" s="7"/>
      <c r="F744" s="7"/>
      <c r="G744" s="7"/>
      <c r="H744" s="7"/>
      <c r="I744" s="7"/>
      <c r="J744" s="7"/>
      <c r="K744" s="7"/>
      <c r="L744" s="7"/>
      <c r="M744" s="7"/>
      <c r="N744" s="7"/>
      <c r="O744" s="7"/>
      <c r="P744" s="7"/>
      <c r="Q744" s="7"/>
      <c r="R744" s="7"/>
      <c r="S744" s="7"/>
      <c r="T744" s="7"/>
      <c r="U744" s="7"/>
      <c r="V744" s="7"/>
      <c r="W744" s="7"/>
    </row>
    <row r="745" spans="1:23" ht="15.75" customHeight="1" x14ac:dyDescent="0.2">
      <c r="A745" s="7"/>
      <c r="B745" s="7"/>
      <c r="C745" s="7"/>
      <c r="D745" s="7"/>
      <c r="E745" s="7"/>
      <c r="F745" s="7"/>
      <c r="G745" s="7"/>
      <c r="H745" s="7"/>
      <c r="I745" s="7"/>
      <c r="J745" s="7"/>
      <c r="K745" s="7"/>
      <c r="L745" s="7"/>
      <c r="M745" s="7"/>
      <c r="N745" s="7"/>
      <c r="O745" s="7"/>
      <c r="P745" s="7"/>
      <c r="Q745" s="7"/>
      <c r="R745" s="7"/>
      <c r="S745" s="7"/>
      <c r="T745" s="7"/>
      <c r="U745" s="7"/>
      <c r="V745" s="7"/>
      <c r="W745" s="7"/>
    </row>
    <row r="746" spans="1:23" ht="15.75" customHeight="1" x14ac:dyDescent="0.2">
      <c r="A746" s="7"/>
      <c r="B746" s="7"/>
      <c r="C746" s="7"/>
      <c r="D746" s="7"/>
      <c r="E746" s="7"/>
      <c r="F746" s="7"/>
      <c r="G746" s="7"/>
      <c r="H746" s="7"/>
      <c r="I746" s="7"/>
      <c r="J746" s="7"/>
      <c r="K746" s="7"/>
      <c r="L746" s="7"/>
      <c r="M746" s="7"/>
      <c r="N746" s="7"/>
      <c r="O746" s="7"/>
      <c r="P746" s="7"/>
      <c r="Q746" s="7"/>
      <c r="R746" s="7"/>
      <c r="S746" s="7"/>
      <c r="T746" s="7"/>
      <c r="U746" s="7"/>
      <c r="V746" s="7"/>
      <c r="W746" s="7"/>
    </row>
    <row r="747" spans="1:23" ht="15.75" customHeight="1" x14ac:dyDescent="0.2">
      <c r="A747" s="7"/>
      <c r="B747" s="7"/>
      <c r="C747" s="7"/>
      <c r="D747" s="7"/>
      <c r="E747" s="7"/>
      <c r="F747" s="7"/>
      <c r="G747" s="7"/>
      <c r="H747" s="7"/>
      <c r="I747" s="7"/>
      <c r="J747" s="7"/>
      <c r="K747" s="7"/>
      <c r="L747" s="7"/>
      <c r="M747" s="7"/>
      <c r="N747" s="7"/>
      <c r="O747" s="7"/>
      <c r="P747" s="7"/>
      <c r="Q747" s="7"/>
      <c r="R747" s="7"/>
      <c r="S747" s="7"/>
      <c r="T747" s="7"/>
      <c r="U747" s="7"/>
      <c r="V747" s="7"/>
      <c r="W747" s="7"/>
    </row>
    <row r="748" spans="1:23" ht="15.75" customHeight="1" x14ac:dyDescent="0.2">
      <c r="A748" s="7"/>
      <c r="B748" s="7"/>
      <c r="C748" s="7"/>
      <c r="D748" s="7"/>
      <c r="E748" s="7"/>
      <c r="F748" s="7"/>
      <c r="G748" s="7"/>
      <c r="H748" s="7"/>
      <c r="I748" s="7"/>
      <c r="J748" s="7"/>
      <c r="K748" s="7"/>
      <c r="L748" s="7"/>
      <c r="M748" s="7"/>
      <c r="N748" s="7"/>
      <c r="O748" s="7"/>
      <c r="P748" s="7"/>
      <c r="Q748" s="7"/>
      <c r="R748" s="7"/>
      <c r="S748" s="7"/>
      <c r="T748" s="7"/>
      <c r="U748" s="7"/>
      <c r="V748" s="7"/>
      <c r="W748" s="7"/>
    </row>
    <row r="749" spans="1:23" ht="15.75" customHeight="1" x14ac:dyDescent="0.2">
      <c r="A749" s="7"/>
      <c r="B749" s="7"/>
      <c r="C749" s="7"/>
      <c r="D749" s="7"/>
      <c r="E749" s="7"/>
      <c r="F749" s="7"/>
      <c r="G749" s="7"/>
      <c r="H749" s="7"/>
      <c r="I749" s="7"/>
      <c r="J749" s="7"/>
      <c r="K749" s="7"/>
      <c r="L749" s="7"/>
      <c r="M749" s="7"/>
      <c r="N749" s="7"/>
      <c r="O749" s="7"/>
      <c r="P749" s="7"/>
      <c r="Q749" s="7"/>
      <c r="R749" s="7"/>
      <c r="S749" s="7"/>
      <c r="T749" s="7"/>
      <c r="U749" s="7"/>
      <c r="V749" s="7"/>
      <c r="W749" s="7"/>
    </row>
    <row r="750" spans="1:23" ht="15.75" customHeight="1" x14ac:dyDescent="0.2">
      <c r="A750" s="7"/>
      <c r="B750" s="7"/>
      <c r="C750" s="7"/>
      <c r="D750" s="7"/>
      <c r="E750" s="7"/>
      <c r="F750" s="7"/>
      <c r="G750" s="7"/>
      <c r="H750" s="7"/>
      <c r="I750" s="7"/>
      <c r="J750" s="7"/>
      <c r="K750" s="7"/>
      <c r="L750" s="7"/>
      <c r="M750" s="7"/>
      <c r="N750" s="7"/>
      <c r="O750" s="7"/>
      <c r="P750" s="7"/>
      <c r="Q750" s="7"/>
      <c r="R750" s="7"/>
      <c r="S750" s="7"/>
      <c r="T750" s="7"/>
      <c r="U750" s="7"/>
      <c r="V750" s="7"/>
      <c r="W750" s="7"/>
    </row>
    <row r="751" spans="1:23" ht="15.75" customHeight="1" x14ac:dyDescent="0.2">
      <c r="A751" s="7"/>
      <c r="B751" s="7"/>
      <c r="C751" s="7"/>
      <c r="D751" s="7"/>
      <c r="E751" s="7"/>
      <c r="F751" s="7"/>
      <c r="G751" s="7"/>
      <c r="H751" s="7"/>
      <c r="I751" s="7"/>
      <c r="J751" s="7"/>
      <c r="K751" s="7"/>
      <c r="L751" s="7"/>
      <c r="M751" s="7"/>
      <c r="N751" s="7"/>
      <c r="O751" s="7"/>
      <c r="P751" s="7"/>
      <c r="Q751" s="7"/>
      <c r="R751" s="7"/>
      <c r="S751" s="7"/>
      <c r="T751" s="7"/>
      <c r="U751" s="7"/>
      <c r="V751" s="7"/>
      <c r="W751" s="7"/>
    </row>
    <row r="752" spans="1:23" ht="15.75" customHeight="1" x14ac:dyDescent="0.2">
      <c r="A752" s="7"/>
      <c r="B752" s="7"/>
      <c r="C752" s="7"/>
      <c r="D752" s="7"/>
      <c r="E752" s="7"/>
      <c r="F752" s="7"/>
      <c r="G752" s="7"/>
      <c r="H752" s="7"/>
      <c r="I752" s="7"/>
      <c r="J752" s="7"/>
      <c r="K752" s="7"/>
      <c r="L752" s="7"/>
      <c r="M752" s="7"/>
      <c r="N752" s="7"/>
      <c r="O752" s="7"/>
      <c r="P752" s="7"/>
      <c r="Q752" s="7"/>
      <c r="R752" s="7"/>
      <c r="S752" s="7"/>
      <c r="T752" s="7"/>
      <c r="U752" s="7"/>
      <c r="V752" s="7"/>
      <c r="W752" s="7"/>
    </row>
    <row r="753" spans="1:23" ht="15.75" customHeight="1" x14ac:dyDescent="0.2">
      <c r="A753" s="7"/>
      <c r="B753" s="7"/>
      <c r="C753" s="7"/>
      <c r="D753" s="7"/>
      <c r="E753" s="7"/>
      <c r="F753" s="7"/>
      <c r="G753" s="7"/>
      <c r="H753" s="7"/>
      <c r="I753" s="7"/>
      <c r="J753" s="7"/>
      <c r="K753" s="7"/>
      <c r="L753" s="7"/>
      <c r="M753" s="7"/>
      <c r="N753" s="7"/>
      <c r="O753" s="7"/>
      <c r="P753" s="7"/>
      <c r="Q753" s="7"/>
      <c r="R753" s="7"/>
      <c r="S753" s="7"/>
      <c r="T753" s="7"/>
      <c r="U753" s="7"/>
      <c r="V753" s="7"/>
      <c r="W753" s="7"/>
    </row>
    <row r="754" spans="1:23" ht="15.75" customHeight="1" x14ac:dyDescent="0.2">
      <c r="A754" s="7"/>
      <c r="B754" s="7"/>
      <c r="C754" s="7"/>
      <c r="D754" s="7"/>
      <c r="E754" s="7"/>
      <c r="F754" s="7"/>
      <c r="G754" s="7"/>
      <c r="H754" s="7"/>
      <c r="I754" s="7"/>
      <c r="J754" s="7"/>
      <c r="K754" s="7"/>
      <c r="L754" s="7"/>
      <c r="M754" s="7"/>
      <c r="N754" s="7"/>
      <c r="O754" s="7"/>
      <c r="P754" s="7"/>
      <c r="Q754" s="7"/>
      <c r="R754" s="7"/>
      <c r="S754" s="7"/>
      <c r="T754" s="7"/>
      <c r="U754" s="7"/>
      <c r="V754" s="7"/>
      <c r="W754" s="7"/>
    </row>
    <row r="755" spans="1:23" ht="15.75" customHeight="1" x14ac:dyDescent="0.2">
      <c r="A755" s="7"/>
      <c r="B755" s="7"/>
      <c r="C755" s="7"/>
      <c r="D755" s="7"/>
      <c r="E755" s="7"/>
      <c r="F755" s="7"/>
      <c r="G755" s="7"/>
      <c r="H755" s="7"/>
      <c r="I755" s="7"/>
      <c r="J755" s="7"/>
      <c r="K755" s="7"/>
      <c r="L755" s="7"/>
      <c r="M755" s="7"/>
      <c r="N755" s="7"/>
      <c r="O755" s="7"/>
      <c r="P755" s="7"/>
      <c r="Q755" s="7"/>
      <c r="R755" s="7"/>
      <c r="S755" s="7"/>
      <c r="T755" s="7"/>
      <c r="U755" s="7"/>
      <c r="V755" s="7"/>
      <c r="W755" s="7"/>
    </row>
    <row r="756" spans="1:23" ht="15.75" customHeight="1" x14ac:dyDescent="0.2">
      <c r="A756" s="7"/>
      <c r="B756" s="7"/>
      <c r="C756" s="7"/>
      <c r="D756" s="7"/>
      <c r="E756" s="7"/>
      <c r="F756" s="7"/>
      <c r="G756" s="7"/>
      <c r="H756" s="7"/>
      <c r="I756" s="7"/>
      <c r="J756" s="7"/>
      <c r="K756" s="7"/>
      <c r="L756" s="7"/>
      <c r="M756" s="7"/>
      <c r="N756" s="7"/>
      <c r="O756" s="7"/>
      <c r="P756" s="7"/>
      <c r="Q756" s="7"/>
      <c r="R756" s="7"/>
      <c r="S756" s="7"/>
      <c r="T756" s="7"/>
      <c r="U756" s="7"/>
      <c r="V756" s="7"/>
      <c r="W756" s="7"/>
    </row>
    <row r="757" spans="1:23" ht="15.75" customHeight="1" x14ac:dyDescent="0.2">
      <c r="A757" s="7"/>
      <c r="B757" s="7"/>
      <c r="C757" s="7"/>
      <c r="D757" s="7"/>
      <c r="E757" s="7"/>
      <c r="F757" s="7"/>
      <c r="G757" s="7"/>
      <c r="H757" s="7"/>
      <c r="I757" s="7"/>
      <c r="J757" s="7"/>
      <c r="K757" s="7"/>
      <c r="L757" s="7"/>
      <c r="M757" s="7"/>
      <c r="N757" s="7"/>
      <c r="O757" s="7"/>
      <c r="P757" s="7"/>
      <c r="Q757" s="7"/>
      <c r="R757" s="7"/>
      <c r="S757" s="7"/>
      <c r="T757" s="7"/>
      <c r="U757" s="7"/>
      <c r="V757" s="7"/>
      <c r="W757" s="7"/>
    </row>
    <row r="758" spans="1:23" ht="15.75" customHeight="1" x14ac:dyDescent="0.2">
      <c r="A758" s="7"/>
      <c r="B758" s="7"/>
      <c r="C758" s="7"/>
      <c r="D758" s="7"/>
      <c r="E758" s="7"/>
      <c r="F758" s="7"/>
      <c r="G758" s="7"/>
      <c r="H758" s="7"/>
      <c r="I758" s="7"/>
      <c r="J758" s="7"/>
      <c r="K758" s="7"/>
      <c r="L758" s="7"/>
      <c r="M758" s="7"/>
      <c r="N758" s="7"/>
      <c r="O758" s="7"/>
      <c r="P758" s="7"/>
      <c r="Q758" s="7"/>
      <c r="R758" s="7"/>
      <c r="S758" s="7"/>
      <c r="T758" s="7"/>
      <c r="U758" s="7"/>
      <c r="V758" s="7"/>
      <c r="W758" s="7"/>
    </row>
    <row r="759" spans="1:23" ht="15.75" customHeight="1" x14ac:dyDescent="0.2">
      <c r="A759" s="7"/>
      <c r="B759" s="7"/>
      <c r="C759" s="7"/>
      <c r="D759" s="7"/>
      <c r="E759" s="7"/>
      <c r="F759" s="7"/>
      <c r="G759" s="7"/>
      <c r="H759" s="7"/>
      <c r="I759" s="7"/>
      <c r="J759" s="7"/>
      <c r="K759" s="7"/>
      <c r="L759" s="7"/>
      <c r="M759" s="7"/>
      <c r="N759" s="7"/>
      <c r="O759" s="7"/>
      <c r="P759" s="7"/>
      <c r="Q759" s="7"/>
      <c r="R759" s="7"/>
      <c r="S759" s="7"/>
      <c r="T759" s="7"/>
      <c r="U759" s="7"/>
      <c r="V759" s="7"/>
      <c r="W759" s="7"/>
    </row>
    <row r="760" spans="1:23" ht="15.75" customHeight="1" x14ac:dyDescent="0.2">
      <c r="A760" s="7"/>
      <c r="B760" s="7"/>
      <c r="C760" s="7"/>
      <c r="D760" s="7"/>
      <c r="E760" s="7"/>
      <c r="F760" s="7"/>
      <c r="G760" s="7"/>
      <c r="H760" s="7"/>
      <c r="I760" s="7"/>
      <c r="J760" s="7"/>
      <c r="K760" s="7"/>
      <c r="L760" s="7"/>
      <c r="M760" s="7"/>
      <c r="N760" s="7"/>
      <c r="O760" s="7"/>
      <c r="P760" s="7"/>
      <c r="Q760" s="7"/>
      <c r="R760" s="7"/>
      <c r="S760" s="7"/>
      <c r="T760" s="7"/>
      <c r="U760" s="7"/>
      <c r="V760" s="7"/>
      <c r="W760" s="7"/>
    </row>
    <row r="761" spans="1:23" ht="15.75" customHeight="1" x14ac:dyDescent="0.2">
      <c r="A761" s="7"/>
      <c r="B761" s="7"/>
      <c r="C761" s="7"/>
      <c r="D761" s="7"/>
      <c r="E761" s="7"/>
      <c r="F761" s="7"/>
      <c r="G761" s="7"/>
      <c r="H761" s="7"/>
      <c r="I761" s="7"/>
      <c r="J761" s="7"/>
      <c r="K761" s="7"/>
      <c r="L761" s="7"/>
      <c r="M761" s="7"/>
      <c r="N761" s="7"/>
      <c r="O761" s="7"/>
      <c r="P761" s="7"/>
      <c r="Q761" s="7"/>
      <c r="R761" s="7"/>
      <c r="S761" s="7"/>
      <c r="T761" s="7"/>
      <c r="U761" s="7"/>
      <c r="V761" s="7"/>
      <c r="W761" s="7"/>
    </row>
    <row r="762" spans="1:23" ht="15.75" customHeight="1" x14ac:dyDescent="0.2">
      <c r="A762" s="7"/>
      <c r="B762" s="7"/>
      <c r="C762" s="7"/>
      <c r="D762" s="7"/>
      <c r="E762" s="7"/>
      <c r="F762" s="7"/>
      <c r="G762" s="7"/>
      <c r="H762" s="7"/>
      <c r="I762" s="7"/>
      <c r="J762" s="7"/>
      <c r="K762" s="7"/>
      <c r="L762" s="7"/>
      <c r="M762" s="7"/>
      <c r="N762" s="7"/>
      <c r="O762" s="7"/>
      <c r="P762" s="7"/>
      <c r="Q762" s="7"/>
      <c r="R762" s="7"/>
      <c r="S762" s="7"/>
      <c r="T762" s="7"/>
      <c r="U762" s="7"/>
      <c r="V762" s="7"/>
      <c r="W762" s="7"/>
    </row>
    <row r="763" spans="1:23" ht="15.75" customHeight="1" x14ac:dyDescent="0.2">
      <c r="A763" s="7"/>
      <c r="B763" s="7"/>
      <c r="C763" s="7"/>
      <c r="D763" s="7"/>
      <c r="E763" s="7"/>
      <c r="F763" s="7"/>
      <c r="G763" s="7"/>
      <c r="H763" s="7"/>
      <c r="I763" s="7"/>
      <c r="J763" s="7"/>
      <c r="K763" s="7"/>
      <c r="L763" s="7"/>
      <c r="M763" s="7"/>
      <c r="N763" s="7"/>
      <c r="O763" s="7"/>
      <c r="P763" s="7"/>
      <c r="Q763" s="7"/>
      <c r="R763" s="7"/>
      <c r="S763" s="7"/>
      <c r="T763" s="7"/>
      <c r="U763" s="7"/>
      <c r="V763" s="7"/>
      <c r="W763" s="7"/>
    </row>
    <row r="764" spans="1:23" ht="15.75" customHeight="1" x14ac:dyDescent="0.2">
      <c r="A764" s="7"/>
      <c r="B764" s="7"/>
      <c r="C764" s="7"/>
      <c r="D764" s="7"/>
      <c r="E764" s="7"/>
      <c r="F764" s="7"/>
      <c r="G764" s="7"/>
      <c r="H764" s="7"/>
      <c r="I764" s="7"/>
      <c r="J764" s="7"/>
      <c r="K764" s="7"/>
      <c r="L764" s="7"/>
      <c r="M764" s="7"/>
      <c r="N764" s="7"/>
      <c r="O764" s="7"/>
      <c r="P764" s="7"/>
      <c r="Q764" s="7"/>
      <c r="R764" s="7"/>
      <c r="S764" s="7"/>
      <c r="T764" s="7"/>
      <c r="U764" s="7"/>
      <c r="V764" s="7"/>
      <c r="W764" s="7"/>
    </row>
    <row r="765" spans="1:23" ht="15.75" customHeight="1" x14ac:dyDescent="0.2">
      <c r="A765" s="7"/>
      <c r="B765" s="7"/>
      <c r="C765" s="7"/>
      <c r="D765" s="7"/>
      <c r="E765" s="7"/>
      <c r="F765" s="7"/>
      <c r="G765" s="7"/>
      <c r="H765" s="7"/>
      <c r="I765" s="7"/>
      <c r="J765" s="7"/>
      <c r="K765" s="7"/>
      <c r="L765" s="7"/>
      <c r="M765" s="7"/>
      <c r="N765" s="7"/>
      <c r="O765" s="7"/>
      <c r="P765" s="7"/>
      <c r="Q765" s="7"/>
      <c r="R765" s="7"/>
      <c r="S765" s="7"/>
      <c r="T765" s="7"/>
      <c r="U765" s="7"/>
      <c r="V765" s="7"/>
      <c r="W765" s="7"/>
    </row>
    <row r="766" spans="1:23" ht="15.75" customHeight="1" x14ac:dyDescent="0.2">
      <c r="A766" s="7"/>
      <c r="B766" s="7"/>
      <c r="C766" s="7"/>
      <c r="D766" s="7"/>
      <c r="E766" s="7"/>
      <c r="F766" s="7"/>
      <c r="G766" s="7"/>
      <c r="H766" s="7"/>
      <c r="I766" s="7"/>
      <c r="J766" s="7"/>
      <c r="K766" s="7"/>
      <c r="L766" s="7"/>
      <c r="M766" s="7"/>
      <c r="N766" s="7"/>
      <c r="O766" s="7"/>
      <c r="P766" s="7"/>
      <c r="Q766" s="7"/>
      <c r="R766" s="7"/>
      <c r="S766" s="7"/>
      <c r="T766" s="7"/>
      <c r="U766" s="7"/>
      <c r="V766" s="7"/>
      <c r="W766" s="7"/>
    </row>
    <row r="767" spans="1:23" ht="15.75" customHeight="1" x14ac:dyDescent="0.2">
      <c r="A767" s="7"/>
      <c r="B767" s="7"/>
      <c r="C767" s="7"/>
      <c r="D767" s="7"/>
      <c r="E767" s="7"/>
      <c r="F767" s="7"/>
      <c r="G767" s="7"/>
      <c r="H767" s="7"/>
      <c r="I767" s="7"/>
      <c r="J767" s="7"/>
      <c r="K767" s="7"/>
      <c r="L767" s="7"/>
      <c r="M767" s="7"/>
      <c r="N767" s="7"/>
      <c r="O767" s="7"/>
      <c r="P767" s="7"/>
      <c r="Q767" s="7"/>
      <c r="R767" s="7"/>
      <c r="S767" s="7"/>
      <c r="T767" s="7"/>
      <c r="U767" s="7"/>
      <c r="V767" s="7"/>
      <c r="W767" s="7"/>
    </row>
    <row r="768" spans="1:23" ht="15.75" customHeight="1" x14ac:dyDescent="0.2">
      <c r="A768" s="7"/>
      <c r="B768" s="7"/>
      <c r="C768" s="7"/>
      <c r="D768" s="7"/>
      <c r="E768" s="7"/>
      <c r="F768" s="7"/>
      <c r="G768" s="7"/>
      <c r="H768" s="7"/>
      <c r="I768" s="7"/>
      <c r="J768" s="7"/>
      <c r="K768" s="7"/>
      <c r="L768" s="7"/>
      <c r="M768" s="7"/>
      <c r="N768" s="7"/>
      <c r="O768" s="7"/>
      <c r="P768" s="7"/>
      <c r="Q768" s="7"/>
      <c r="R768" s="7"/>
      <c r="S768" s="7"/>
      <c r="T768" s="7"/>
      <c r="U768" s="7"/>
      <c r="V768" s="7"/>
      <c r="W768" s="7"/>
    </row>
    <row r="769" spans="1:23" ht="15.75" customHeight="1" x14ac:dyDescent="0.2">
      <c r="A769" s="7"/>
      <c r="B769" s="7"/>
      <c r="C769" s="7"/>
      <c r="D769" s="7"/>
      <c r="E769" s="7"/>
      <c r="F769" s="7"/>
      <c r="G769" s="7"/>
      <c r="H769" s="7"/>
      <c r="I769" s="7"/>
      <c r="J769" s="7"/>
      <c r="K769" s="7"/>
      <c r="L769" s="7"/>
      <c r="M769" s="7"/>
      <c r="N769" s="7"/>
      <c r="O769" s="7"/>
      <c r="P769" s="7"/>
      <c r="Q769" s="7"/>
      <c r="R769" s="7"/>
      <c r="S769" s="7"/>
      <c r="T769" s="7"/>
      <c r="U769" s="7"/>
      <c r="V769" s="7"/>
      <c r="W769" s="7"/>
    </row>
    <row r="770" spans="1:23" ht="15.75" customHeight="1" x14ac:dyDescent="0.2">
      <c r="A770" s="7"/>
      <c r="B770" s="7"/>
      <c r="C770" s="7"/>
      <c r="D770" s="7"/>
      <c r="E770" s="7"/>
      <c r="F770" s="7"/>
      <c r="G770" s="7"/>
      <c r="H770" s="7"/>
      <c r="I770" s="7"/>
      <c r="J770" s="7"/>
      <c r="K770" s="7"/>
      <c r="L770" s="7"/>
      <c r="M770" s="7"/>
      <c r="N770" s="7"/>
      <c r="O770" s="7"/>
      <c r="P770" s="7"/>
      <c r="Q770" s="7"/>
      <c r="R770" s="7"/>
      <c r="S770" s="7"/>
      <c r="T770" s="7"/>
      <c r="U770" s="7"/>
      <c r="V770" s="7"/>
      <c r="W770" s="7"/>
    </row>
    <row r="771" spans="1:23" ht="15.75" customHeight="1" x14ac:dyDescent="0.2">
      <c r="A771" s="7"/>
      <c r="B771" s="7"/>
      <c r="C771" s="7"/>
      <c r="D771" s="7"/>
      <c r="E771" s="7"/>
      <c r="F771" s="7"/>
      <c r="G771" s="7"/>
      <c r="H771" s="7"/>
      <c r="I771" s="7"/>
      <c r="J771" s="7"/>
      <c r="K771" s="7"/>
      <c r="L771" s="7"/>
      <c r="M771" s="7"/>
      <c r="N771" s="7"/>
      <c r="O771" s="7"/>
      <c r="P771" s="7"/>
      <c r="Q771" s="7"/>
      <c r="R771" s="7"/>
      <c r="S771" s="7"/>
      <c r="T771" s="7"/>
      <c r="U771" s="7"/>
      <c r="V771" s="7"/>
      <c r="W771" s="7"/>
    </row>
    <row r="772" spans="1:23" ht="15.75" customHeight="1" x14ac:dyDescent="0.2">
      <c r="A772" s="7"/>
      <c r="B772" s="7"/>
      <c r="C772" s="7"/>
      <c r="D772" s="7"/>
      <c r="E772" s="7"/>
      <c r="F772" s="7"/>
      <c r="G772" s="7"/>
      <c r="H772" s="7"/>
      <c r="I772" s="7"/>
      <c r="J772" s="7"/>
      <c r="K772" s="7"/>
      <c r="L772" s="7"/>
      <c r="M772" s="7"/>
      <c r="N772" s="7"/>
      <c r="O772" s="7"/>
      <c r="P772" s="7"/>
      <c r="Q772" s="7"/>
      <c r="R772" s="7"/>
      <c r="S772" s="7"/>
      <c r="T772" s="7"/>
      <c r="U772" s="7"/>
      <c r="V772" s="7"/>
      <c r="W772" s="7"/>
    </row>
    <row r="773" spans="1:23" ht="15.75" customHeight="1" x14ac:dyDescent="0.2">
      <c r="A773" s="7"/>
      <c r="B773" s="7"/>
      <c r="C773" s="7"/>
      <c r="D773" s="7"/>
      <c r="E773" s="7"/>
      <c r="F773" s="7"/>
      <c r="G773" s="7"/>
      <c r="H773" s="7"/>
      <c r="I773" s="7"/>
      <c r="J773" s="7"/>
      <c r="K773" s="7"/>
      <c r="L773" s="7"/>
      <c r="M773" s="7"/>
      <c r="N773" s="7"/>
      <c r="O773" s="7"/>
      <c r="P773" s="7"/>
      <c r="Q773" s="7"/>
      <c r="R773" s="7"/>
      <c r="S773" s="7"/>
      <c r="T773" s="7"/>
      <c r="U773" s="7"/>
      <c r="V773" s="7"/>
      <c r="W773" s="7"/>
    </row>
    <row r="774" spans="1:23" ht="15.75" customHeight="1" x14ac:dyDescent="0.2">
      <c r="A774" s="7"/>
      <c r="B774" s="7"/>
      <c r="C774" s="7"/>
      <c r="D774" s="7"/>
      <c r="E774" s="7"/>
      <c r="F774" s="7"/>
      <c r="G774" s="7"/>
      <c r="H774" s="7"/>
      <c r="I774" s="7"/>
      <c r="J774" s="7"/>
      <c r="K774" s="7"/>
      <c r="L774" s="7"/>
      <c r="M774" s="7"/>
      <c r="N774" s="7"/>
      <c r="O774" s="7"/>
      <c r="P774" s="7"/>
      <c r="Q774" s="7"/>
      <c r="R774" s="7"/>
      <c r="S774" s="7"/>
      <c r="T774" s="7"/>
      <c r="U774" s="7"/>
      <c r="V774" s="7"/>
      <c r="W774" s="7"/>
    </row>
    <row r="775" spans="1:23" ht="15.75" customHeight="1" x14ac:dyDescent="0.2">
      <c r="A775" s="7"/>
      <c r="B775" s="7"/>
      <c r="C775" s="7"/>
      <c r="D775" s="7"/>
      <c r="E775" s="7"/>
      <c r="F775" s="7"/>
      <c r="G775" s="7"/>
      <c r="H775" s="7"/>
      <c r="I775" s="7"/>
      <c r="J775" s="7"/>
      <c r="K775" s="7"/>
      <c r="L775" s="7"/>
      <c r="M775" s="7"/>
      <c r="N775" s="7"/>
      <c r="O775" s="7"/>
      <c r="P775" s="7"/>
      <c r="Q775" s="7"/>
      <c r="R775" s="7"/>
      <c r="S775" s="7"/>
      <c r="T775" s="7"/>
      <c r="U775" s="7"/>
      <c r="V775" s="7"/>
      <c r="W775" s="7"/>
    </row>
    <row r="776" spans="1:23" ht="15.75" customHeight="1" x14ac:dyDescent="0.2">
      <c r="A776" s="7"/>
      <c r="B776" s="7"/>
      <c r="C776" s="7"/>
      <c r="D776" s="7"/>
      <c r="E776" s="7"/>
      <c r="F776" s="7"/>
      <c r="G776" s="7"/>
      <c r="H776" s="7"/>
      <c r="I776" s="7"/>
      <c r="J776" s="7"/>
      <c r="K776" s="7"/>
      <c r="L776" s="7"/>
      <c r="M776" s="7"/>
      <c r="N776" s="7"/>
      <c r="O776" s="7"/>
      <c r="P776" s="7"/>
      <c r="Q776" s="7"/>
      <c r="R776" s="7"/>
      <c r="S776" s="7"/>
      <c r="T776" s="7"/>
      <c r="U776" s="7"/>
      <c r="V776" s="7"/>
      <c r="W776" s="7"/>
    </row>
    <row r="777" spans="1:23" ht="15.75" customHeight="1" x14ac:dyDescent="0.2">
      <c r="A777" s="7"/>
      <c r="B777" s="7"/>
      <c r="C777" s="7"/>
      <c r="D777" s="7"/>
      <c r="E777" s="7"/>
      <c r="F777" s="7"/>
      <c r="G777" s="7"/>
      <c r="H777" s="7"/>
      <c r="I777" s="7"/>
      <c r="J777" s="7"/>
      <c r="K777" s="7"/>
      <c r="L777" s="7"/>
      <c r="M777" s="7"/>
      <c r="N777" s="7"/>
      <c r="O777" s="7"/>
      <c r="P777" s="7"/>
      <c r="Q777" s="7"/>
      <c r="R777" s="7"/>
      <c r="S777" s="7"/>
      <c r="T777" s="7"/>
      <c r="U777" s="7"/>
      <c r="V777" s="7"/>
      <c r="W777" s="7"/>
    </row>
    <row r="778" spans="1:23" ht="15.75" customHeight="1" x14ac:dyDescent="0.2">
      <c r="A778" s="7"/>
      <c r="B778" s="7"/>
      <c r="C778" s="7"/>
      <c r="D778" s="7"/>
      <c r="E778" s="7"/>
      <c r="F778" s="7"/>
      <c r="G778" s="7"/>
      <c r="H778" s="7"/>
      <c r="I778" s="7"/>
      <c r="J778" s="7"/>
      <c r="K778" s="7"/>
      <c r="L778" s="7"/>
      <c r="M778" s="7"/>
      <c r="N778" s="7"/>
      <c r="O778" s="7"/>
      <c r="P778" s="7"/>
      <c r="Q778" s="7"/>
      <c r="R778" s="7"/>
      <c r="S778" s="7"/>
      <c r="T778" s="7"/>
      <c r="U778" s="7"/>
      <c r="V778" s="7"/>
      <c r="W778" s="7"/>
    </row>
    <row r="779" spans="1:23" ht="15.75" customHeight="1" x14ac:dyDescent="0.2">
      <c r="A779" s="7"/>
      <c r="B779" s="7"/>
      <c r="C779" s="7"/>
      <c r="D779" s="7"/>
      <c r="E779" s="7"/>
      <c r="F779" s="7"/>
      <c r="G779" s="7"/>
      <c r="H779" s="7"/>
      <c r="I779" s="7"/>
      <c r="J779" s="7"/>
      <c r="K779" s="7"/>
      <c r="L779" s="7"/>
      <c r="M779" s="7"/>
      <c r="N779" s="7"/>
      <c r="O779" s="7"/>
      <c r="P779" s="7"/>
      <c r="Q779" s="7"/>
      <c r="R779" s="7"/>
      <c r="S779" s="7"/>
      <c r="T779" s="7"/>
      <c r="U779" s="7"/>
      <c r="V779" s="7"/>
      <c r="W779" s="7"/>
    </row>
    <row r="780" spans="1:23" ht="15.75" customHeight="1" x14ac:dyDescent="0.2">
      <c r="A780" s="7"/>
      <c r="B780" s="7"/>
      <c r="C780" s="7"/>
      <c r="D780" s="7"/>
      <c r="E780" s="7"/>
      <c r="F780" s="7"/>
      <c r="G780" s="7"/>
      <c r="H780" s="7"/>
      <c r="I780" s="7"/>
      <c r="J780" s="7"/>
      <c r="K780" s="7"/>
      <c r="L780" s="7"/>
      <c r="M780" s="7"/>
      <c r="N780" s="7"/>
      <c r="O780" s="7"/>
      <c r="P780" s="7"/>
      <c r="Q780" s="7"/>
      <c r="R780" s="7"/>
      <c r="S780" s="7"/>
      <c r="T780" s="7"/>
      <c r="U780" s="7"/>
      <c r="V780" s="7"/>
      <c r="W780" s="7"/>
    </row>
    <row r="781" spans="1:23" ht="15.75" customHeight="1" x14ac:dyDescent="0.2">
      <c r="A781" s="7"/>
      <c r="B781" s="7"/>
      <c r="C781" s="7"/>
      <c r="D781" s="7"/>
      <c r="E781" s="7"/>
      <c r="F781" s="7"/>
      <c r="G781" s="7"/>
      <c r="H781" s="7"/>
      <c r="I781" s="7"/>
      <c r="J781" s="7"/>
      <c r="K781" s="7"/>
      <c r="L781" s="7"/>
      <c r="M781" s="7"/>
      <c r="N781" s="7"/>
      <c r="O781" s="7"/>
      <c r="P781" s="7"/>
      <c r="Q781" s="7"/>
      <c r="R781" s="7"/>
      <c r="S781" s="7"/>
      <c r="T781" s="7"/>
      <c r="U781" s="7"/>
      <c r="V781" s="7"/>
      <c r="W781" s="7"/>
    </row>
    <row r="782" spans="1:23" ht="15.75" customHeight="1" x14ac:dyDescent="0.2">
      <c r="A782" s="7"/>
      <c r="B782" s="7"/>
      <c r="C782" s="7"/>
      <c r="D782" s="7"/>
      <c r="E782" s="7"/>
      <c r="F782" s="7"/>
      <c r="G782" s="7"/>
      <c r="H782" s="7"/>
      <c r="I782" s="7"/>
      <c r="J782" s="7"/>
      <c r="K782" s="7"/>
      <c r="L782" s="7"/>
      <c r="M782" s="7"/>
      <c r="N782" s="7"/>
      <c r="O782" s="7"/>
      <c r="P782" s="7"/>
      <c r="Q782" s="7"/>
      <c r="R782" s="7"/>
      <c r="S782" s="7"/>
      <c r="T782" s="7"/>
      <c r="U782" s="7"/>
      <c r="V782" s="7"/>
      <c r="W782" s="7"/>
    </row>
    <row r="783" spans="1:23" ht="15.75" customHeight="1" x14ac:dyDescent="0.2">
      <c r="A783" s="7"/>
      <c r="B783" s="7"/>
      <c r="C783" s="7"/>
      <c r="D783" s="7"/>
      <c r="E783" s="7"/>
      <c r="F783" s="7"/>
      <c r="G783" s="7"/>
      <c r="H783" s="7"/>
      <c r="I783" s="7"/>
      <c r="J783" s="7"/>
      <c r="K783" s="7"/>
      <c r="L783" s="7"/>
      <c r="M783" s="7"/>
      <c r="N783" s="7"/>
      <c r="O783" s="7"/>
      <c r="P783" s="7"/>
      <c r="Q783" s="7"/>
      <c r="R783" s="7"/>
      <c r="S783" s="7"/>
      <c r="T783" s="7"/>
      <c r="U783" s="7"/>
      <c r="V783" s="7"/>
      <c r="W783" s="7"/>
    </row>
    <row r="784" spans="1:23" ht="15.75" customHeight="1" x14ac:dyDescent="0.2">
      <c r="A784" s="7"/>
      <c r="B784" s="7"/>
      <c r="C784" s="7"/>
      <c r="D784" s="7"/>
      <c r="E784" s="7"/>
      <c r="F784" s="7"/>
      <c r="G784" s="7"/>
      <c r="H784" s="7"/>
      <c r="I784" s="7"/>
      <c r="J784" s="7"/>
      <c r="K784" s="7"/>
      <c r="L784" s="7"/>
      <c r="M784" s="7"/>
      <c r="N784" s="7"/>
      <c r="O784" s="7"/>
      <c r="P784" s="7"/>
      <c r="Q784" s="7"/>
      <c r="R784" s="7"/>
      <c r="S784" s="7"/>
      <c r="T784" s="7"/>
      <c r="U784" s="7"/>
      <c r="V784" s="7"/>
      <c r="W784" s="7"/>
    </row>
    <row r="785" spans="1:23" ht="15.75" customHeight="1" x14ac:dyDescent="0.2">
      <c r="A785" s="7"/>
      <c r="B785" s="7"/>
      <c r="C785" s="7"/>
      <c r="D785" s="7"/>
      <c r="E785" s="7"/>
      <c r="F785" s="7"/>
      <c r="G785" s="7"/>
      <c r="H785" s="7"/>
      <c r="I785" s="7"/>
      <c r="J785" s="7"/>
      <c r="K785" s="7"/>
      <c r="L785" s="7"/>
      <c r="M785" s="7"/>
      <c r="N785" s="7"/>
      <c r="O785" s="7"/>
      <c r="P785" s="7"/>
      <c r="Q785" s="7"/>
      <c r="R785" s="7"/>
      <c r="S785" s="7"/>
      <c r="T785" s="7"/>
      <c r="U785" s="7"/>
      <c r="V785" s="7"/>
      <c r="W785" s="7"/>
    </row>
    <row r="786" spans="1:23" ht="15.75" customHeight="1" x14ac:dyDescent="0.2">
      <c r="A786" s="7"/>
      <c r="B786" s="7"/>
      <c r="C786" s="7"/>
      <c r="D786" s="7"/>
      <c r="E786" s="7"/>
      <c r="F786" s="7"/>
      <c r="G786" s="7"/>
      <c r="H786" s="7"/>
      <c r="I786" s="7"/>
      <c r="J786" s="7"/>
      <c r="K786" s="7"/>
      <c r="L786" s="7"/>
      <c r="M786" s="7"/>
      <c r="N786" s="7"/>
      <c r="O786" s="7"/>
      <c r="P786" s="7"/>
      <c r="Q786" s="7"/>
      <c r="R786" s="7"/>
      <c r="S786" s="7"/>
      <c r="T786" s="7"/>
      <c r="U786" s="7"/>
      <c r="V786" s="7"/>
      <c r="W786" s="7"/>
    </row>
    <row r="787" spans="1:23" ht="15.75" customHeight="1" x14ac:dyDescent="0.2">
      <c r="A787" s="7"/>
      <c r="B787" s="7"/>
      <c r="C787" s="7"/>
      <c r="D787" s="7"/>
      <c r="E787" s="7"/>
      <c r="F787" s="7"/>
      <c r="G787" s="7"/>
      <c r="H787" s="7"/>
      <c r="I787" s="7"/>
      <c r="J787" s="7"/>
      <c r="K787" s="7"/>
      <c r="L787" s="7"/>
      <c r="M787" s="7"/>
      <c r="N787" s="7"/>
      <c r="O787" s="7"/>
      <c r="P787" s="7"/>
      <c r="Q787" s="7"/>
      <c r="R787" s="7"/>
      <c r="S787" s="7"/>
      <c r="T787" s="7"/>
      <c r="U787" s="7"/>
      <c r="V787" s="7"/>
      <c r="W787" s="7"/>
    </row>
    <row r="788" spans="1:23" ht="15.75" customHeight="1" x14ac:dyDescent="0.2">
      <c r="A788" s="7"/>
      <c r="B788" s="7"/>
      <c r="C788" s="7"/>
      <c r="D788" s="7"/>
      <c r="E788" s="7"/>
      <c r="F788" s="7"/>
      <c r="G788" s="7"/>
      <c r="H788" s="7"/>
      <c r="I788" s="7"/>
      <c r="J788" s="7"/>
      <c r="K788" s="7"/>
      <c r="L788" s="7"/>
      <c r="M788" s="7"/>
      <c r="N788" s="7"/>
      <c r="O788" s="7"/>
      <c r="P788" s="7"/>
      <c r="Q788" s="7"/>
      <c r="R788" s="7"/>
      <c r="S788" s="7"/>
      <c r="T788" s="7"/>
      <c r="U788" s="7"/>
      <c r="V788" s="7"/>
      <c r="W788" s="7"/>
    </row>
    <row r="789" spans="1:23" ht="15.75" customHeight="1" x14ac:dyDescent="0.2">
      <c r="A789" s="7"/>
      <c r="B789" s="7"/>
      <c r="C789" s="7"/>
      <c r="D789" s="7"/>
      <c r="E789" s="7"/>
      <c r="F789" s="7"/>
      <c r="G789" s="7"/>
      <c r="H789" s="7"/>
      <c r="I789" s="7"/>
      <c r="J789" s="7"/>
      <c r="K789" s="7"/>
      <c r="L789" s="7"/>
      <c r="M789" s="7"/>
      <c r="N789" s="7"/>
      <c r="O789" s="7"/>
      <c r="P789" s="7"/>
      <c r="Q789" s="7"/>
      <c r="R789" s="7"/>
      <c r="S789" s="7"/>
      <c r="T789" s="7"/>
      <c r="U789" s="7"/>
      <c r="V789" s="7"/>
      <c r="W789" s="7"/>
    </row>
    <row r="790" spans="1:23" ht="15.75" customHeight="1" x14ac:dyDescent="0.2">
      <c r="A790" s="7"/>
      <c r="B790" s="7"/>
      <c r="C790" s="7"/>
      <c r="D790" s="7"/>
      <c r="E790" s="7"/>
      <c r="F790" s="7"/>
      <c r="G790" s="7"/>
      <c r="H790" s="7"/>
      <c r="I790" s="7"/>
      <c r="J790" s="7"/>
      <c r="K790" s="7"/>
      <c r="L790" s="7"/>
      <c r="M790" s="7"/>
      <c r="N790" s="7"/>
      <c r="O790" s="7"/>
      <c r="P790" s="7"/>
      <c r="Q790" s="7"/>
      <c r="R790" s="7"/>
      <c r="S790" s="7"/>
      <c r="T790" s="7"/>
      <c r="U790" s="7"/>
      <c r="V790" s="7"/>
      <c r="W790" s="7"/>
    </row>
    <row r="791" spans="1:23" ht="15.75" customHeight="1" x14ac:dyDescent="0.2">
      <c r="A791" s="7"/>
      <c r="B791" s="7"/>
      <c r="C791" s="7"/>
      <c r="D791" s="7"/>
      <c r="E791" s="7"/>
      <c r="F791" s="7"/>
      <c r="G791" s="7"/>
      <c r="H791" s="7"/>
      <c r="I791" s="7"/>
      <c r="J791" s="7"/>
      <c r="K791" s="7"/>
      <c r="L791" s="7"/>
      <c r="M791" s="7"/>
      <c r="N791" s="7"/>
      <c r="O791" s="7"/>
      <c r="P791" s="7"/>
      <c r="Q791" s="7"/>
      <c r="R791" s="7"/>
      <c r="S791" s="7"/>
      <c r="T791" s="7"/>
      <c r="U791" s="7"/>
      <c r="V791" s="7"/>
      <c r="W791" s="7"/>
    </row>
    <row r="792" spans="1:23" ht="15.75" customHeight="1" x14ac:dyDescent="0.2">
      <c r="A792" s="7"/>
      <c r="B792" s="7"/>
      <c r="C792" s="7"/>
      <c r="D792" s="7"/>
      <c r="E792" s="7"/>
      <c r="F792" s="7"/>
      <c r="G792" s="7"/>
      <c r="H792" s="7"/>
      <c r="I792" s="7"/>
      <c r="J792" s="7"/>
      <c r="K792" s="7"/>
      <c r="L792" s="7"/>
      <c r="M792" s="7"/>
      <c r="N792" s="7"/>
      <c r="O792" s="7"/>
      <c r="P792" s="7"/>
      <c r="Q792" s="7"/>
      <c r="R792" s="7"/>
      <c r="S792" s="7"/>
      <c r="T792" s="7"/>
      <c r="U792" s="7"/>
      <c r="V792" s="7"/>
      <c r="W792" s="7"/>
    </row>
    <row r="793" spans="1:23" ht="15.75" customHeight="1" x14ac:dyDescent="0.2">
      <c r="A793" s="7"/>
      <c r="B793" s="7"/>
      <c r="C793" s="7"/>
      <c r="D793" s="7"/>
      <c r="E793" s="7"/>
      <c r="F793" s="7"/>
      <c r="G793" s="7"/>
      <c r="H793" s="7"/>
      <c r="I793" s="7"/>
      <c r="J793" s="7"/>
      <c r="K793" s="7"/>
      <c r="L793" s="7"/>
      <c r="M793" s="7"/>
      <c r="N793" s="7"/>
      <c r="O793" s="7"/>
      <c r="P793" s="7"/>
      <c r="Q793" s="7"/>
      <c r="R793" s="7"/>
      <c r="S793" s="7"/>
      <c r="T793" s="7"/>
      <c r="U793" s="7"/>
      <c r="V793" s="7"/>
      <c r="W793" s="7"/>
    </row>
    <row r="794" spans="1:23" ht="15.75" customHeight="1" x14ac:dyDescent="0.2">
      <c r="A794" s="7"/>
      <c r="B794" s="7"/>
      <c r="C794" s="7"/>
      <c r="D794" s="7"/>
      <c r="E794" s="7"/>
      <c r="F794" s="7"/>
      <c r="G794" s="7"/>
      <c r="H794" s="7"/>
      <c r="I794" s="7"/>
      <c r="J794" s="7"/>
      <c r="K794" s="7"/>
      <c r="L794" s="7"/>
      <c r="M794" s="7"/>
      <c r="N794" s="7"/>
      <c r="O794" s="7"/>
      <c r="P794" s="7"/>
      <c r="Q794" s="7"/>
      <c r="R794" s="7"/>
      <c r="S794" s="7"/>
      <c r="T794" s="7"/>
      <c r="U794" s="7"/>
      <c r="V794" s="7"/>
      <c r="W794" s="7"/>
    </row>
    <row r="795" spans="1:23" ht="15.75" customHeight="1" x14ac:dyDescent="0.2">
      <c r="A795" s="7"/>
      <c r="B795" s="7"/>
      <c r="C795" s="7"/>
      <c r="D795" s="7"/>
      <c r="E795" s="7"/>
      <c r="F795" s="7"/>
      <c r="G795" s="7"/>
      <c r="H795" s="7"/>
      <c r="I795" s="7"/>
      <c r="J795" s="7"/>
      <c r="K795" s="7"/>
      <c r="L795" s="7"/>
      <c r="M795" s="7"/>
      <c r="N795" s="7"/>
      <c r="O795" s="7"/>
      <c r="P795" s="7"/>
      <c r="Q795" s="7"/>
      <c r="R795" s="7"/>
      <c r="S795" s="7"/>
      <c r="T795" s="7"/>
      <c r="U795" s="7"/>
      <c r="V795" s="7"/>
      <c r="W795" s="7"/>
    </row>
    <row r="796" spans="1:23" ht="15.75" customHeight="1" x14ac:dyDescent="0.2">
      <c r="A796" s="7"/>
      <c r="B796" s="7"/>
      <c r="C796" s="7"/>
      <c r="D796" s="7"/>
      <c r="E796" s="7"/>
      <c r="F796" s="7"/>
      <c r="G796" s="7"/>
      <c r="H796" s="7"/>
      <c r="I796" s="7"/>
      <c r="J796" s="7"/>
      <c r="K796" s="7"/>
      <c r="L796" s="7"/>
      <c r="M796" s="7"/>
      <c r="N796" s="7"/>
      <c r="O796" s="7"/>
      <c r="P796" s="7"/>
      <c r="Q796" s="7"/>
      <c r="R796" s="7"/>
      <c r="S796" s="7"/>
      <c r="T796" s="7"/>
      <c r="U796" s="7"/>
      <c r="V796" s="7"/>
      <c r="W796" s="7"/>
    </row>
    <row r="797" spans="1:23" ht="15.75" customHeight="1" x14ac:dyDescent="0.2">
      <c r="A797" s="7"/>
      <c r="B797" s="7"/>
      <c r="C797" s="7"/>
      <c r="D797" s="7"/>
      <c r="E797" s="7"/>
      <c r="F797" s="7"/>
      <c r="G797" s="7"/>
      <c r="H797" s="7"/>
      <c r="I797" s="7"/>
      <c r="J797" s="7"/>
      <c r="K797" s="7"/>
      <c r="L797" s="7"/>
      <c r="M797" s="7"/>
      <c r="N797" s="7"/>
      <c r="O797" s="7"/>
      <c r="P797" s="7"/>
      <c r="Q797" s="7"/>
      <c r="R797" s="7"/>
      <c r="S797" s="7"/>
      <c r="T797" s="7"/>
      <c r="U797" s="7"/>
      <c r="V797" s="7"/>
      <c r="W797" s="7"/>
    </row>
    <row r="798" spans="1:23" ht="15.75" customHeight="1" x14ac:dyDescent="0.2">
      <c r="A798" s="7"/>
      <c r="B798" s="7"/>
      <c r="C798" s="7"/>
      <c r="D798" s="7"/>
      <c r="E798" s="7"/>
      <c r="F798" s="7"/>
      <c r="G798" s="7"/>
      <c r="H798" s="7"/>
      <c r="I798" s="7"/>
      <c r="J798" s="7"/>
      <c r="K798" s="7"/>
      <c r="L798" s="7"/>
      <c r="M798" s="7"/>
      <c r="N798" s="7"/>
      <c r="O798" s="7"/>
      <c r="P798" s="7"/>
      <c r="Q798" s="7"/>
      <c r="R798" s="7"/>
      <c r="S798" s="7"/>
      <c r="T798" s="7"/>
      <c r="U798" s="7"/>
      <c r="V798" s="7"/>
      <c r="W798" s="7"/>
    </row>
    <row r="799" spans="1:23" ht="15.75" customHeight="1" x14ac:dyDescent="0.2">
      <c r="A799" s="7"/>
      <c r="B799" s="7"/>
      <c r="C799" s="7"/>
      <c r="D799" s="7"/>
      <c r="E799" s="7"/>
      <c r="F799" s="7"/>
      <c r="G799" s="7"/>
      <c r="H799" s="7"/>
      <c r="I799" s="7"/>
      <c r="J799" s="7"/>
      <c r="K799" s="7"/>
      <c r="L799" s="7"/>
      <c r="M799" s="7"/>
      <c r="N799" s="7"/>
      <c r="O799" s="7"/>
      <c r="P799" s="7"/>
      <c r="Q799" s="7"/>
      <c r="R799" s="7"/>
      <c r="S799" s="7"/>
      <c r="T799" s="7"/>
      <c r="U799" s="7"/>
      <c r="V799" s="7"/>
      <c r="W799" s="7"/>
    </row>
    <row r="800" spans="1:23" ht="15.75" customHeight="1" x14ac:dyDescent="0.2">
      <c r="A800" s="7"/>
      <c r="B800" s="7"/>
      <c r="C800" s="7"/>
      <c r="D800" s="7"/>
      <c r="E800" s="7"/>
      <c r="F800" s="7"/>
      <c r="G800" s="7"/>
      <c r="H800" s="7"/>
      <c r="I800" s="7"/>
      <c r="J800" s="7"/>
      <c r="K800" s="7"/>
      <c r="L800" s="7"/>
      <c r="M800" s="7"/>
      <c r="N800" s="7"/>
      <c r="O800" s="7"/>
      <c r="P800" s="7"/>
      <c r="Q800" s="7"/>
      <c r="R800" s="7"/>
      <c r="S800" s="7"/>
      <c r="T800" s="7"/>
      <c r="U800" s="7"/>
      <c r="V800" s="7"/>
      <c r="W800" s="7"/>
    </row>
    <row r="801" spans="1:23" ht="15.75" customHeight="1" x14ac:dyDescent="0.2">
      <c r="A801" s="7"/>
      <c r="B801" s="7"/>
      <c r="C801" s="7"/>
      <c r="D801" s="7"/>
      <c r="E801" s="7"/>
      <c r="F801" s="7"/>
      <c r="G801" s="7"/>
      <c r="H801" s="7"/>
      <c r="I801" s="7"/>
      <c r="J801" s="7"/>
      <c r="K801" s="7"/>
      <c r="L801" s="7"/>
      <c r="M801" s="7"/>
      <c r="N801" s="7"/>
      <c r="O801" s="7"/>
      <c r="P801" s="7"/>
      <c r="Q801" s="7"/>
      <c r="R801" s="7"/>
      <c r="S801" s="7"/>
      <c r="T801" s="7"/>
      <c r="U801" s="7"/>
      <c r="V801" s="7"/>
      <c r="W801" s="7"/>
    </row>
    <row r="802" spans="1:23" ht="15.75" customHeight="1" x14ac:dyDescent="0.2">
      <c r="A802" s="7"/>
      <c r="B802" s="7"/>
      <c r="C802" s="7"/>
      <c r="D802" s="7"/>
      <c r="E802" s="7"/>
      <c r="F802" s="7"/>
      <c r="G802" s="7"/>
      <c r="H802" s="7"/>
      <c r="I802" s="7"/>
      <c r="J802" s="7"/>
      <c r="K802" s="7"/>
      <c r="L802" s="7"/>
      <c r="M802" s="7"/>
      <c r="N802" s="7"/>
      <c r="O802" s="7"/>
      <c r="P802" s="7"/>
      <c r="Q802" s="7"/>
      <c r="R802" s="7"/>
      <c r="S802" s="7"/>
      <c r="T802" s="7"/>
      <c r="U802" s="7"/>
      <c r="V802" s="7"/>
      <c r="W802" s="7"/>
    </row>
    <row r="803" spans="1:23" ht="15.75" customHeight="1" x14ac:dyDescent="0.2">
      <c r="A803" s="7"/>
      <c r="B803" s="7"/>
      <c r="C803" s="7"/>
      <c r="D803" s="7"/>
      <c r="E803" s="7"/>
      <c r="F803" s="7"/>
      <c r="G803" s="7"/>
      <c r="H803" s="7"/>
      <c r="I803" s="7"/>
      <c r="J803" s="7"/>
      <c r="K803" s="7"/>
      <c r="L803" s="7"/>
      <c r="M803" s="7"/>
      <c r="N803" s="7"/>
      <c r="O803" s="7"/>
      <c r="P803" s="7"/>
      <c r="Q803" s="7"/>
      <c r="R803" s="7"/>
      <c r="S803" s="7"/>
      <c r="T803" s="7"/>
      <c r="U803" s="7"/>
      <c r="V803" s="7"/>
      <c r="W803" s="7"/>
    </row>
    <row r="804" spans="1:23" ht="15.75" customHeight="1" x14ac:dyDescent="0.2">
      <c r="A804" s="7"/>
      <c r="B804" s="7"/>
      <c r="C804" s="7"/>
      <c r="D804" s="7"/>
      <c r="E804" s="7"/>
      <c r="F804" s="7"/>
      <c r="G804" s="7"/>
      <c r="H804" s="7"/>
      <c r="I804" s="7"/>
      <c r="J804" s="7"/>
      <c r="K804" s="7"/>
      <c r="L804" s="7"/>
      <c r="M804" s="7"/>
      <c r="N804" s="7"/>
      <c r="O804" s="7"/>
      <c r="P804" s="7"/>
      <c r="Q804" s="7"/>
      <c r="R804" s="7"/>
      <c r="S804" s="7"/>
      <c r="T804" s="7"/>
      <c r="U804" s="7"/>
      <c r="V804" s="7"/>
      <c r="W804" s="7"/>
    </row>
    <row r="805" spans="1:23" ht="15.75" customHeight="1" x14ac:dyDescent="0.2">
      <c r="A805" s="7"/>
      <c r="B805" s="7"/>
      <c r="C805" s="7"/>
      <c r="D805" s="7"/>
      <c r="E805" s="7"/>
      <c r="F805" s="7"/>
      <c r="G805" s="7"/>
      <c r="H805" s="7"/>
      <c r="I805" s="7"/>
      <c r="J805" s="7"/>
      <c r="K805" s="7"/>
      <c r="L805" s="7"/>
      <c r="M805" s="7"/>
      <c r="N805" s="7"/>
      <c r="O805" s="7"/>
      <c r="P805" s="7"/>
      <c r="Q805" s="7"/>
      <c r="R805" s="7"/>
      <c r="S805" s="7"/>
      <c r="T805" s="7"/>
      <c r="U805" s="7"/>
      <c r="V805" s="7"/>
      <c r="W805" s="7"/>
    </row>
    <row r="806" spans="1:23" ht="15.75" customHeight="1" x14ac:dyDescent="0.2">
      <c r="A806" s="7"/>
      <c r="B806" s="7"/>
      <c r="C806" s="7"/>
      <c r="D806" s="7"/>
      <c r="E806" s="7"/>
      <c r="F806" s="7"/>
      <c r="G806" s="7"/>
      <c r="H806" s="7"/>
      <c r="I806" s="7"/>
      <c r="J806" s="7"/>
      <c r="K806" s="7"/>
      <c r="L806" s="7"/>
      <c r="M806" s="7"/>
      <c r="N806" s="7"/>
      <c r="O806" s="7"/>
      <c r="P806" s="7"/>
      <c r="Q806" s="7"/>
      <c r="R806" s="7"/>
      <c r="S806" s="7"/>
      <c r="T806" s="7"/>
      <c r="U806" s="7"/>
      <c r="V806" s="7"/>
      <c r="W806" s="7"/>
    </row>
    <row r="807" spans="1:23" ht="15.75" customHeight="1" x14ac:dyDescent="0.2">
      <c r="A807" s="7"/>
      <c r="B807" s="7"/>
      <c r="C807" s="7"/>
      <c r="D807" s="7"/>
      <c r="E807" s="7"/>
      <c r="F807" s="7"/>
      <c r="G807" s="7"/>
      <c r="H807" s="7"/>
      <c r="I807" s="7"/>
      <c r="J807" s="7"/>
      <c r="K807" s="7"/>
      <c r="L807" s="7"/>
      <c r="M807" s="7"/>
      <c r="N807" s="7"/>
      <c r="O807" s="7"/>
      <c r="P807" s="7"/>
      <c r="Q807" s="7"/>
      <c r="R807" s="7"/>
      <c r="S807" s="7"/>
      <c r="T807" s="7"/>
      <c r="U807" s="7"/>
      <c r="V807" s="7"/>
      <c r="W807" s="7"/>
    </row>
    <row r="808" spans="1:23" ht="15.75" customHeight="1" x14ac:dyDescent="0.2">
      <c r="A808" s="7"/>
      <c r="B808" s="7"/>
      <c r="C808" s="7"/>
      <c r="D808" s="7"/>
      <c r="E808" s="7"/>
      <c r="F808" s="7"/>
      <c r="G808" s="7"/>
      <c r="H808" s="7"/>
      <c r="I808" s="7"/>
      <c r="J808" s="7"/>
      <c r="K808" s="7"/>
      <c r="L808" s="7"/>
      <c r="M808" s="7"/>
      <c r="N808" s="7"/>
      <c r="O808" s="7"/>
      <c r="P808" s="7"/>
      <c r="Q808" s="7"/>
      <c r="R808" s="7"/>
      <c r="S808" s="7"/>
      <c r="T808" s="7"/>
      <c r="U808" s="7"/>
      <c r="V808" s="7"/>
      <c r="W808" s="7"/>
    </row>
    <row r="809" spans="1:23" ht="15.75" customHeight="1" x14ac:dyDescent="0.2">
      <c r="A809" s="7"/>
      <c r="B809" s="7"/>
      <c r="C809" s="7"/>
      <c r="D809" s="7"/>
      <c r="E809" s="7"/>
      <c r="F809" s="7"/>
      <c r="G809" s="7"/>
      <c r="H809" s="7"/>
      <c r="I809" s="7"/>
      <c r="J809" s="7"/>
      <c r="K809" s="7"/>
      <c r="L809" s="7"/>
      <c r="M809" s="7"/>
      <c r="N809" s="7"/>
      <c r="O809" s="7"/>
      <c r="P809" s="7"/>
      <c r="Q809" s="7"/>
      <c r="R809" s="7"/>
      <c r="S809" s="7"/>
      <c r="T809" s="7"/>
      <c r="U809" s="7"/>
      <c r="V809" s="7"/>
      <c r="W809" s="7"/>
    </row>
    <row r="810" spans="1:23" ht="15.75" customHeight="1" x14ac:dyDescent="0.2">
      <c r="A810" s="7"/>
      <c r="B810" s="7"/>
      <c r="C810" s="7"/>
      <c r="D810" s="7"/>
      <c r="E810" s="7"/>
      <c r="F810" s="7"/>
      <c r="G810" s="7"/>
      <c r="H810" s="7"/>
      <c r="I810" s="7"/>
      <c r="J810" s="7"/>
      <c r="K810" s="7"/>
      <c r="L810" s="7"/>
      <c r="M810" s="7"/>
      <c r="N810" s="7"/>
      <c r="O810" s="7"/>
      <c r="P810" s="7"/>
      <c r="Q810" s="7"/>
      <c r="R810" s="7"/>
      <c r="S810" s="7"/>
      <c r="T810" s="7"/>
      <c r="U810" s="7"/>
      <c r="V810" s="7"/>
      <c r="W810" s="7"/>
    </row>
    <row r="811" spans="1:23" ht="15.75" customHeight="1" x14ac:dyDescent="0.2">
      <c r="A811" s="7"/>
      <c r="B811" s="7"/>
      <c r="C811" s="7"/>
      <c r="D811" s="7"/>
      <c r="E811" s="7"/>
      <c r="F811" s="7"/>
      <c r="G811" s="7"/>
      <c r="H811" s="7"/>
      <c r="I811" s="7"/>
      <c r="J811" s="7"/>
      <c r="K811" s="7"/>
      <c r="L811" s="7"/>
      <c r="M811" s="7"/>
      <c r="N811" s="7"/>
      <c r="O811" s="7"/>
      <c r="P811" s="7"/>
      <c r="Q811" s="7"/>
      <c r="R811" s="7"/>
      <c r="S811" s="7"/>
      <c r="T811" s="7"/>
      <c r="U811" s="7"/>
      <c r="V811" s="7"/>
      <c r="W811" s="7"/>
    </row>
    <row r="812" spans="1:23" ht="15.75" customHeight="1" x14ac:dyDescent="0.2">
      <c r="A812" s="7"/>
      <c r="B812" s="7"/>
      <c r="C812" s="7"/>
      <c r="D812" s="7"/>
      <c r="E812" s="7"/>
      <c r="F812" s="7"/>
      <c r="G812" s="7"/>
      <c r="H812" s="7"/>
      <c r="I812" s="7"/>
      <c r="J812" s="7"/>
      <c r="K812" s="7"/>
      <c r="L812" s="7"/>
      <c r="M812" s="7"/>
      <c r="N812" s="7"/>
      <c r="O812" s="7"/>
      <c r="P812" s="7"/>
      <c r="Q812" s="7"/>
      <c r="R812" s="7"/>
      <c r="S812" s="7"/>
      <c r="T812" s="7"/>
      <c r="U812" s="7"/>
      <c r="V812" s="7"/>
      <c r="W812" s="7"/>
    </row>
    <row r="813" spans="1:23" ht="15.75" customHeight="1" x14ac:dyDescent="0.2">
      <c r="A813" s="7"/>
      <c r="B813" s="7"/>
      <c r="C813" s="7"/>
      <c r="D813" s="7"/>
      <c r="E813" s="7"/>
      <c r="F813" s="7"/>
      <c r="G813" s="7"/>
      <c r="H813" s="7"/>
      <c r="I813" s="7"/>
      <c r="J813" s="7"/>
      <c r="K813" s="7"/>
      <c r="L813" s="7"/>
      <c r="M813" s="7"/>
      <c r="N813" s="7"/>
      <c r="O813" s="7"/>
      <c r="P813" s="7"/>
      <c r="Q813" s="7"/>
      <c r="R813" s="7"/>
      <c r="S813" s="7"/>
      <c r="T813" s="7"/>
      <c r="U813" s="7"/>
      <c r="V813" s="7"/>
      <c r="W813" s="7"/>
    </row>
    <row r="814" spans="1:23" ht="15.75" customHeight="1" x14ac:dyDescent="0.2">
      <c r="A814" s="7"/>
      <c r="B814" s="7"/>
      <c r="C814" s="7"/>
      <c r="D814" s="7"/>
      <c r="E814" s="7"/>
      <c r="F814" s="7"/>
      <c r="G814" s="7"/>
      <c r="H814" s="7"/>
      <c r="I814" s="7"/>
      <c r="J814" s="7"/>
      <c r="K814" s="7"/>
      <c r="L814" s="7"/>
      <c r="M814" s="7"/>
      <c r="N814" s="7"/>
      <c r="O814" s="7"/>
      <c r="P814" s="7"/>
      <c r="Q814" s="7"/>
      <c r="R814" s="7"/>
      <c r="S814" s="7"/>
      <c r="T814" s="7"/>
      <c r="U814" s="7"/>
      <c r="V814" s="7"/>
      <c r="W814" s="7"/>
    </row>
    <row r="815" spans="1:23" ht="15.75" customHeight="1" x14ac:dyDescent="0.2">
      <c r="A815" s="7"/>
      <c r="B815" s="7"/>
      <c r="C815" s="7"/>
      <c r="D815" s="7"/>
      <c r="E815" s="7"/>
      <c r="F815" s="7"/>
      <c r="G815" s="7"/>
      <c r="H815" s="7"/>
      <c r="I815" s="7"/>
      <c r="J815" s="7"/>
      <c r="K815" s="7"/>
      <c r="L815" s="7"/>
      <c r="M815" s="7"/>
      <c r="N815" s="7"/>
      <c r="O815" s="7"/>
      <c r="P815" s="7"/>
      <c r="Q815" s="7"/>
      <c r="R815" s="7"/>
      <c r="S815" s="7"/>
      <c r="T815" s="7"/>
      <c r="U815" s="7"/>
      <c r="V815" s="7"/>
      <c r="W815" s="7"/>
    </row>
    <row r="816" spans="1:23" ht="15.75" customHeight="1" x14ac:dyDescent="0.2">
      <c r="A816" s="7"/>
      <c r="B816" s="7"/>
      <c r="C816" s="7"/>
      <c r="D816" s="7"/>
      <c r="E816" s="7"/>
      <c r="F816" s="7"/>
      <c r="G816" s="7"/>
      <c r="H816" s="7"/>
      <c r="I816" s="7"/>
      <c r="J816" s="7"/>
      <c r="K816" s="7"/>
      <c r="L816" s="7"/>
      <c r="M816" s="7"/>
      <c r="N816" s="7"/>
      <c r="O816" s="7"/>
      <c r="P816" s="7"/>
      <c r="Q816" s="7"/>
      <c r="R816" s="7"/>
      <c r="S816" s="7"/>
      <c r="T816" s="7"/>
      <c r="U816" s="7"/>
      <c r="V816" s="7"/>
      <c r="W816" s="7"/>
    </row>
    <row r="817" spans="1:23" ht="15.75" customHeight="1" x14ac:dyDescent="0.2">
      <c r="A817" s="7"/>
      <c r="B817" s="7"/>
      <c r="C817" s="7"/>
      <c r="D817" s="7"/>
      <c r="E817" s="7"/>
      <c r="F817" s="7"/>
      <c r="G817" s="7"/>
      <c r="H817" s="7"/>
      <c r="I817" s="7"/>
      <c r="J817" s="7"/>
      <c r="K817" s="7"/>
      <c r="L817" s="7"/>
      <c r="M817" s="7"/>
      <c r="N817" s="7"/>
      <c r="O817" s="7"/>
      <c r="P817" s="7"/>
      <c r="Q817" s="7"/>
      <c r="R817" s="7"/>
      <c r="S817" s="7"/>
      <c r="T817" s="7"/>
      <c r="U817" s="7"/>
      <c r="V817" s="7"/>
      <c r="W817" s="7"/>
    </row>
    <row r="818" spans="1:23" ht="15.75" customHeight="1" x14ac:dyDescent="0.2">
      <c r="A818" s="7"/>
      <c r="B818" s="7"/>
      <c r="C818" s="7"/>
      <c r="D818" s="7"/>
      <c r="E818" s="7"/>
      <c r="F818" s="7"/>
      <c r="G818" s="7"/>
      <c r="H818" s="7"/>
      <c r="I818" s="7"/>
      <c r="J818" s="7"/>
      <c r="K818" s="7"/>
      <c r="L818" s="7"/>
      <c r="M818" s="7"/>
      <c r="N818" s="7"/>
      <c r="O818" s="7"/>
      <c r="P818" s="7"/>
      <c r="Q818" s="7"/>
      <c r="R818" s="7"/>
      <c r="S818" s="7"/>
      <c r="T818" s="7"/>
      <c r="U818" s="7"/>
      <c r="V818" s="7"/>
      <c r="W818" s="7"/>
    </row>
    <row r="819" spans="1:23" ht="15.75" customHeight="1" x14ac:dyDescent="0.2">
      <c r="A819" s="7"/>
      <c r="B819" s="7"/>
      <c r="C819" s="7"/>
      <c r="D819" s="7"/>
      <c r="E819" s="7"/>
      <c r="F819" s="7"/>
      <c r="G819" s="7"/>
      <c r="H819" s="7"/>
      <c r="I819" s="7"/>
      <c r="J819" s="7"/>
      <c r="K819" s="7"/>
      <c r="L819" s="7"/>
      <c r="M819" s="7"/>
      <c r="N819" s="7"/>
      <c r="O819" s="7"/>
      <c r="P819" s="7"/>
      <c r="Q819" s="7"/>
      <c r="R819" s="7"/>
      <c r="S819" s="7"/>
      <c r="T819" s="7"/>
      <c r="U819" s="7"/>
      <c r="V819" s="7"/>
      <c r="W819" s="7"/>
    </row>
    <row r="820" spans="1:23" ht="15.75" customHeight="1" x14ac:dyDescent="0.2">
      <c r="A820" s="7"/>
      <c r="B820" s="7"/>
      <c r="C820" s="7"/>
      <c r="D820" s="7"/>
      <c r="E820" s="7"/>
      <c r="F820" s="7"/>
      <c r="G820" s="7"/>
      <c r="H820" s="7"/>
      <c r="I820" s="7"/>
      <c r="J820" s="7"/>
      <c r="K820" s="7"/>
      <c r="L820" s="7"/>
      <c r="M820" s="7"/>
      <c r="N820" s="7"/>
      <c r="O820" s="7"/>
      <c r="P820" s="7"/>
      <c r="Q820" s="7"/>
      <c r="R820" s="7"/>
      <c r="S820" s="7"/>
      <c r="T820" s="7"/>
      <c r="U820" s="7"/>
      <c r="V820" s="7"/>
      <c r="W820" s="7"/>
    </row>
    <row r="821" spans="1:23" ht="15.75" customHeight="1" x14ac:dyDescent="0.2">
      <c r="A821" s="7"/>
      <c r="B821" s="7"/>
      <c r="C821" s="7"/>
      <c r="D821" s="7"/>
      <c r="E821" s="7"/>
      <c r="F821" s="7"/>
      <c r="G821" s="7"/>
      <c r="H821" s="7"/>
      <c r="I821" s="7"/>
      <c r="J821" s="7"/>
      <c r="K821" s="7"/>
      <c r="L821" s="7"/>
      <c r="M821" s="7"/>
      <c r="N821" s="7"/>
      <c r="O821" s="7"/>
      <c r="P821" s="7"/>
      <c r="Q821" s="7"/>
      <c r="R821" s="7"/>
      <c r="S821" s="7"/>
      <c r="T821" s="7"/>
      <c r="U821" s="7"/>
      <c r="V821" s="7"/>
      <c r="W821" s="7"/>
    </row>
    <row r="822" spans="1:23" ht="15.75" customHeight="1" x14ac:dyDescent="0.2">
      <c r="A822" s="7"/>
      <c r="B822" s="7"/>
      <c r="C822" s="7"/>
      <c r="D822" s="7"/>
      <c r="E822" s="7"/>
      <c r="F822" s="7"/>
      <c r="G822" s="7"/>
      <c r="H822" s="7"/>
      <c r="I822" s="7"/>
      <c r="J822" s="7"/>
      <c r="K822" s="7"/>
      <c r="L822" s="7"/>
      <c r="M822" s="7"/>
      <c r="N822" s="7"/>
      <c r="O822" s="7"/>
      <c r="P822" s="7"/>
      <c r="Q822" s="7"/>
      <c r="R822" s="7"/>
      <c r="S822" s="7"/>
      <c r="T822" s="7"/>
      <c r="U822" s="7"/>
      <c r="V822" s="7"/>
      <c r="W822" s="7"/>
    </row>
    <row r="823" spans="1:23" ht="15.75" customHeight="1" x14ac:dyDescent="0.2">
      <c r="A823" s="7"/>
      <c r="B823" s="7"/>
      <c r="C823" s="7"/>
      <c r="D823" s="7"/>
      <c r="E823" s="7"/>
      <c r="F823" s="7"/>
      <c r="G823" s="7"/>
      <c r="H823" s="7"/>
      <c r="I823" s="7"/>
      <c r="J823" s="7"/>
      <c r="K823" s="7"/>
      <c r="L823" s="7"/>
      <c r="M823" s="7"/>
      <c r="N823" s="7"/>
      <c r="O823" s="7"/>
      <c r="P823" s="7"/>
      <c r="Q823" s="7"/>
      <c r="R823" s="7"/>
      <c r="S823" s="7"/>
      <c r="T823" s="7"/>
      <c r="U823" s="7"/>
      <c r="V823" s="7"/>
      <c r="W823" s="7"/>
    </row>
    <row r="824" spans="1:23" ht="15.75" customHeight="1" x14ac:dyDescent="0.2">
      <c r="A824" s="7"/>
      <c r="B824" s="7"/>
      <c r="C824" s="7"/>
      <c r="D824" s="7"/>
      <c r="E824" s="7"/>
      <c r="F824" s="7"/>
      <c r="G824" s="7"/>
      <c r="H824" s="7"/>
      <c r="I824" s="7"/>
      <c r="J824" s="7"/>
      <c r="K824" s="7"/>
      <c r="L824" s="7"/>
      <c r="M824" s="7"/>
      <c r="N824" s="7"/>
      <c r="O824" s="7"/>
      <c r="P824" s="7"/>
      <c r="Q824" s="7"/>
      <c r="R824" s="7"/>
      <c r="S824" s="7"/>
      <c r="T824" s="7"/>
      <c r="U824" s="7"/>
      <c r="V824" s="7"/>
      <c r="W824" s="7"/>
    </row>
    <row r="825" spans="1:23" ht="15.75" customHeight="1" x14ac:dyDescent="0.2">
      <c r="A825" s="7"/>
      <c r="B825" s="7"/>
      <c r="C825" s="7"/>
      <c r="D825" s="7"/>
      <c r="E825" s="7"/>
      <c r="F825" s="7"/>
      <c r="G825" s="7"/>
      <c r="H825" s="7"/>
      <c r="I825" s="7"/>
      <c r="J825" s="7"/>
      <c r="K825" s="7"/>
      <c r="L825" s="7"/>
      <c r="M825" s="7"/>
      <c r="N825" s="7"/>
      <c r="O825" s="7"/>
      <c r="P825" s="7"/>
      <c r="Q825" s="7"/>
      <c r="R825" s="7"/>
      <c r="S825" s="7"/>
      <c r="T825" s="7"/>
      <c r="U825" s="7"/>
      <c r="V825" s="7"/>
      <c r="W825" s="7"/>
    </row>
    <row r="826" spans="1:23" ht="15.75" customHeight="1" x14ac:dyDescent="0.2">
      <c r="A826" s="7"/>
      <c r="B826" s="7"/>
      <c r="C826" s="7"/>
      <c r="D826" s="7"/>
      <c r="E826" s="7"/>
      <c r="F826" s="7"/>
      <c r="G826" s="7"/>
      <c r="H826" s="7"/>
      <c r="I826" s="7"/>
      <c r="J826" s="7"/>
      <c r="K826" s="7"/>
      <c r="L826" s="7"/>
      <c r="M826" s="7"/>
      <c r="N826" s="7"/>
      <c r="O826" s="7"/>
      <c r="P826" s="7"/>
      <c r="Q826" s="7"/>
      <c r="R826" s="7"/>
      <c r="S826" s="7"/>
      <c r="T826" s="7"/>
      <c r="U826" s="7"/>
      <c r="V826" s="7"/>
      <c r="W826" s="7"/>
    </row>
    <row r="827" spans="1:23" ht="15.75" customHeight="1" x14ac:dyDescent="0.2">
      <c r="A827" s="7"/>
      <c r="B827" s="7"/>
      <c r="C827" s="7"/>
      <c r="D827" s="7"/>
      <c r="E827" s="7"/>
      <c r="F827" s="7"/>
      <c r="G827" s="7"/>
      <c r="H827" s="7"/>
      <c r="I827" s="7"/>
      <c r="J827" s="7"/>
      <c r="K827" s="7"/>
      <c r="L827" s="7"/>
      <c r="M827" s="7"/>
      <c r="N827" s="7"/>
      <c r="O827" s="7"/>
      <c r="P827" s="7"/>
      <c r="Q827" s="7"/>
      <c r="R827" s="7"/>
      <c r="S827" s="7"/>
      <c r="T827" s="7"/>
      <c r="U827" s="7"/>
      <c r="V827" s="7"/>
      <c r="W827" s="7"/>
    </row>
    <row r="828" spans="1:23" ht="15.75" customHeight="1" x14ac:dyDescent="0.2">
      <c r="A828" s="7"/>
      <c r="B828" s="7"/>
      <c r="C828" s="7"/>
      <c r="D828" s="7"/>
      <c r="E828" s="7"/>
      <c r="F828" s="7"/>
      <c r="G828" s="7"/>
      <c r="H828" s="7"/>
      <c r="I828" s="7"/>
      <c r="J828" s="7"/>
      <c r="K828" s="7"/>
      <c r="L828" s="7"/>
      <c r="M828" s="7"/>
      <c r="N828" s="7"/>
      <c r="O828" s="7"/>
      <c r="P828" s="7"/>
      <c r="Q828" s="7"/>
      <c r="R828" s="7"/>
      <c r="S828" s="7"/>
      <c r="T828" s="7"/>
      <c r="U828" s="7"/>
      <c r="V828" s="7"/>
      <c r="W828" s="7"/>
    </row>
    <row r="829" spans="1:23" ht="15.75" customHeight="1" x14ac:dyDescent="0.2">
      <c r="A829" s="7"/>
      <c r="B829" s="7"/>
      <c r="C829" s="7"/>
      <c r="D829" s="7"/>
      <c r="E829" s="7"/>
      <c r="F829" s="7"/>
      <c r="G829" s="7"/>
      <c r="H829" s="7"/>
      <c r="I829" s="7"/>
      <c r="J829" s="7"/>
      <c r="K829" s="7"/>
      <c r="L829" s="7"/>
      <c r="M829" s="7"/>
      <c r="N829" s="7"/>
      <c r="O829" s="7"/>
      <c r="P829" s="7"/>
      <c r="Q829" s="7"/>
      <c r="R829" s="7"/>
      <c r="S829" s="7"/>
      <c r="T829" s="7"/>
      <c r="U829" s="7"/>
      <c r="V829" s="7"/>
      <c r="W829" s="7"/>
    </row>
    <row r="830" spans="1:23" ht="15.75" customHeight="1" x14ac:dyDescent="0.2">
      <c r="A830" s="7"/>
      <c r="B830" s="7"/>
      <c r="C830" s="7"/>
      <c r="D830" s="7"/>
      <c r="E830" s="7"/>
      <c r="F830" s="7"/>
      <c r="G830" s="7"/>
      <c r="H830" s="7"/>
      <c r="I830" s="7"/>
      <c r="J830" s="7"/>
      <c r="K830" s="7"/>
      <c r="L830" s="7"/>
      <c r="M830" s="7"/>
      <c r="N830" s="7"/>
      <c r="O830" s="7"/>
      <c r="P830" s="7"/>
      <c r="Q830" s="7"/>
      <c r="R830" s="7"/>
      <c r="S830" s="7"/>
      <c r="T830" s="7"/>
      <c r="U830" s="7"/>
      <c r="V830" s="7"/>
      <c r="W830" s="7"/>
    </row>
    <row r="831" spans="1:23" ht="15.75" customHeight="1" x14ac:dyDescent="0.2">
      <c r="A831" s="7"/>
      <c r="B831" s="7"/>
      <c r="C831" s="7"/>
      <c r="D831" s="7"/>
      <c r="E831" s="7"/>
      <c r="F831" s="7"/>
      <c r="G831" s="7"/>
      <c r="H831" s="7"/>
      <c r="I831" s="7"/>
      <c r="J831" s="7"/>
      <c r="K831" s="7"/>
      <c r="L831" s="7"/>
      <c r="M831" s="7"/>
      <c r="N831" s="7"/>
      <c r="O831" s="7"/>
      <c r="P831" s="7"/>
      <c r="Q831" s="7"/>
      <c r="R831" s="7"/>
      <c r="S831" s="7"/>
      <c r="T831" s="7"/>
      <c r="U831" s="7"/>
      <c r="V831" s="7"/>
      <c r="W831" s="7"/>
    </row>
    <row r="832" spans="1:23" ht="15.75" customHeight="1" x14ac:dyDescent="0.2">
      <c r="A832" s="7"/>
      <c r="B832" s="7"/>
      <c r="C832" s="7"/>
      <c r="D832" s="7"/>
      <c r="E832" s="7"/>
      <c r="F832" s="7"/>
      <c r="G832" s="7"/>
      <c r="H832" s="7"/>
      <c r="I832" s="7"/>
      <c r="J832" s="7"/>
      <c r="K832" s="7"/>
      <c r="L832" s="7"/>
      <c r="M832" s="7"/>
      <c r="N832" s="7"/>
      <c r="O832" s="7"/>
      <c r="P832" s="7"/>
      <c r="Q832" s="7"/>
      <c r="R832" s="7"/>
      <c r="S832" s="7"/>
      <c r="T832" s="7"/>
      <c r="U832" s="7"/>
      <c r="V832" s="7"/>
      <c r="W832" s="7"/>
    </row>
    <row r="833" spans="1:23" ht="15.75" customHeight="1" x14ac:dyDescent="0.2">
      <c r="A833" s="7"/>
      <c r="B833" s="7"/>
      <c r="C833" s="7"/>
      <c r="D833" s="7"/>
      <c r="E833" s="7"/>
      <c r="F833" s="7"/>
      <c r="G833" s="7"/>
      <c r="H833" s="7"/>
      <c r="I833" s="7"/>
      <c r="J833" s="7"/>
      <c r="K833" s="7"/>
      <c r="L833" s="7"/>
      <c r="M833" s="7"/>
      <c r="N833" s="7"/>
      <c r="O833" s="7"/>
      <c r="P833" s="7"/>
      <c r="Q833" s="7"/>
      <c r="R833" s="7"/>
      <c r="S833" s="7"/>
      <c r="T833" s="7"/>
      <c r="U833" s="7"/>
      <c r="V833" s="7"/>
      <c r="W833" s="7"/>
    </row>
    <row r="834" spans="1:23" ht="15.75" customHeight="1" x14ac:dyDescent="0.2">
      <c r="A834" s="7"/>
      <c r="B834" s="7"/>
      <c r="C834" s="7"/>
      <c r="D834" s="7"/>
      <c r="E834" s="7"/>
      <c r="F834" s="7"/>
      <c r="G834" s="7"/>
      <c r="H834" s="7"/>
      <c r="I834" s="7"/>
      <c r="J834" s="7"/>
      <c r="K834" s="7"/>
      <c r="L834" s="7"/>
      <c r="M834" s="7"/>
      <c r="N834" s="7"/>
      <c r="O834" s="7"/>
      <c r="P834" s="7"/>
      <c r="Q834" s="7"/>
      <c r="R834" s="7"/>
      <c r="S834" s="7"/>
      <c r="T834" s="7"/>
      <c r="U834" s="7"/>
      <c r="V834" s="7"/>
      <c r="W834" s="7"/>
    </row>
    <row r="835" spans="1:23" ht="15.75" customHeight="1" x14ac:dyDescent="0.2">
      <c r="A835" s="7"/>
      <c r="B835" s="7"/>
      <c r="C835" s="7"/>
      <c r="D835" s="7"/>
      <c r="E835" s="7"/>
      <c r="F835" s="7"/>
      <c r="G835" s="7"/>
      <c r="H835" s="7"/>
      <c r="I835" s="7"/>
      <c r="J835" s="7"/>
      <c r="K835" s="7"/>
      <c r="L835" s="7"/>
      <c r="M835" s="7"/>
      <c r="N835" s="7"/>
      <c r="O835" s="7"/>
      <c r="P835" s="7"/>
      <c r="Q835" s="7"/>
      <c r="R835" s="7"/>
      <c r="S835" s="7"/>
      <c r="T835" s="7"/>
      <c r="U835" s="7"/>
      <c r="V835" s="7"/>
      <c r="W835" s="7"/>
    </row>
    <row r="836" spans="1:23" ht="15.75" customHeight="1" x14ac:dyDescent="0.2">
      <c r="A836" s="7"/>
      <c r="B836" s="7"/>
      <c r="C836" s="7"/>
      <c r="D836" s="7"/>
      <c r="E836" s="7"/>
      <c r="F836" s="7"/>
      <c r="G836" s="7"/>
      <c r="H836" s="7"/>
      <c r="I836" s="7"/>
      <c r="J836" s="7"/>
      <c r="K836" s="7"/>
      <c r="L836" s="7"/>
      <c r="M836" s="7"/>
      <c r="N836" s="7"/>
      <c r="O836" s="7"/>
      <c r="P836" s="7"/>
      <c r="Q836" s="7"/>
      <c r="R836" s="7"/>
      <c r="S836" s="7"/>
      <c r="T836" s="7"/>
      <c r="U836" s="7"/>
      <c r="V836" s="7"/>
      <c r="W836" s="7"/>
    </row>
    <row r="837" spans="1:23" ht="15.75" customHeight="1" x14ac:dyDescent="0.2">
      <c r="A837" s="7"/>
      <c r="B837" s="7"/>
      <c r="C837" s="7"/>
      <c r="D837" s="7"/>
      <c r="E837" s="7"/>
      <c r="F837" s="7"/>
      <c r="G837" s="7"/>
      <c r="H837" s="7"/>
      <c r="I837" s="7"/>
      <c r="J837" s="7"/>
      <c r="K837" s="7"/>
      <c r="L837" s="7"/>
      <c r="M837" s="7"/>
      <c r="N837" s="7"/>
      <c r="O837" s="7"/>
      <c r="P837" s="7"/>
      <c r="Q837" s="7"/>
      <c r="R837" s="7"/>
      <c r="S837" s="7"/>
      <c r="T837" s="7"/>
      <c r="U837" s="7"/>
      <c r="V837" s="7"/>
      <c r="W837" s="7"/>
    </row>
    <row r="838" spans="1:23" ht="15.75" customHeight="1" x14ac:dyDescent="0.2">
      <c r="A838" s="7"/>
      <c r="B838" s="7"/>
      <c r="C838" s="7"/>
      <c r="D838" s="7"/>
      <c r="E838" s="7"/>
      <c r="F838" s="7"/>
      <c r="G838" s="7"/>
      <c r="H838" s="7"/>
      <c r="I838" s="7"/>
      <c r="J838" s="7"/>
      <c r="K838" s="7"/>
      <c r="L838" s="7"/>
      <c r="M838" s="7"/>
      <c r="N838" s="7"/>
      <c r="O838" s="7"/>
      <c r="P838" s="7"/>
      <c r="Q838" s="7"/>
      <c r="R838" s="7"/>
      <c r="S838" s="7"/>
      <c r="T838" s="7"/>
      <c r="U838" s="7"/>
      <c r="V838" s="7"/>
      <c r="W838" s="7"/>
    </row>
    <row r="839" spans="1:23" ht="15.75" customHeight="1" x14ac:dyDescent="0.2">
      <c r="A839" s="7"/>
      <c r="B839" s="7"/>
      <c r="C839" s="7"/>
      <c r="D839" s="7"/>
      <c r="E839" s="7"/>
      <c r="F839" s="7"/>
      <c r="G839" s="7"/>
      <c r="H839" s="7"/>
      <c r="I839" s="7"/>
      <c r="J839" s="7"/>
      <c r="K839" s="7"/>
      <c r="L839" s="7"/>
      <c r="M839" s="7"/>
      <c r="N839" s="7"/>
      <c r="O839" s="7"/>
      <c r="P839" s="7"/>
      <c r="Q839" s="7"/>
      <c r="R839" s="7"/>
      <c r="S839" s="7"/>
      <c r="T839" s="7"/>
      <c r="U839" s="7"/>
      <c r="V839" s="7"/>
      <c r="W839" s="7"/>
    </row>
    <row r="840" spans="1:23" ht="15.75" customHeight="1" x14ac:dyDescent="0.2">
      <c r="A840" s="7"/>
      <c r="B840" s="7"/>
      <c r="C840" s="7"/>
      <c r="D840" s="7"/>
      <c r="E840" s="7"/>
      <c r="F840" s="7"/>
      <c r="G840" s="7"/>
      <c r="H840" s="7"/>
      <c r="I840" s="7"/>
      <c r="J840" s="7"/>
      <c r="K840" s="7"/>
      <c r="L840" s="7"/>
      <c r="M840" s="7"/>
      <c r="N840" s="7"/>
      <c r="O840" s="7"/>
      <c r="P840" s="7"/>
      <c r="Q840" s="7"/>
      <c r="R840" s="7"/>
      <c r="S840" s="7"/>
      <c r="T840" s="7"/>
      <c r="U840" s="7"/>
      <c r="V840" s="7"/>
      <c r="W840" s="7"/>
    </row>
    <row r="841" spans="1:23" ht="15.75" customHeight="1" x14ac:dyDescent="0.2">
      <c r="A841" s="7"/>
      <c r="B841" s="7"/>
      <c r="C841" s="7"/>
      <c r="D841" s="7"/>
      <c r="E841" s="7"/>
      <c r="F841" s="7"/>
      <c r="G841" s="7"/>
      <c r="H841" s="7"/>
      <c r="I841" s="7"/>
      <c r="J841" s="7"/>
      <c r="K841" s="7"/>
      <c r="L841" s="7"/>
      <c r="M841" s="7"/>
      <c r="N841" s="7"/>
      <c r="O841" s="7"/>
      <c r="P841" s="7"/>
      <c r="Q841" s="7"/>
      <c r="R841" s="7"/>
      <c r="S841" s="7"/>
      <c r="T841" s="7"/>
      <c r="U841" s="7"/>
      <c r="V841" s="7"/>
      <c r="W841" s="7"/>
    </row>
    <row r="842" spans="1:23" ht="15.75" customHeight="1" x14ac:dyDescent="0.2">
      <c r="A842" s="7"/>
      <c r="B842" s="7"/>
      <c r="C842" s="7"/>
      <c r="D842" s="7"/>
      <c r="E842" s="7"/>
      <c r="F842" s="7"/>
      <c r="G842" s="7"/>
      <c r="H842" s="7"/>
      <c r="I842" s="7"/>
      <c r="J842" s="7"/>
      <c r="K842" s="7"/>
      <c r="L842" s="7"/>
      <c r="M842" s="7"/>
      <c r="N842" s="7"/>
      <c r="O842" s="7"/>
      <c r="P842" s="7"/>
      <c r="Q842" s="7"/>
      <c r="R842" s="7"/>
      <c r="S842" s="7"/>
      <c r="T842" s="7"/>
      <c r="U842" s="7"/>
      <c r="V842" s="7"/>
      <c r="W842" s="7"/>
    </row>
    <row r="843" spans="1:23" ht="15.75" customHeight="1" x14ac:dyDescent="0.2">
      <c r="A843" s="7"/>
      <c r="B843" s="7"/>
      <c r="C843" s="7"/>
      <c r="D843" s="7"/>
      <c r="E843" s="7"/>
      <c r="F843" s="7"/>
      <c r="G843" s="7"/>
      <c r="H843" s="7"/>
      <c r="I843" s="7"/>
      <c r="J843" s="7"/>
      <c r="K843" s="7"/>
      <c r="L843" s="7"/>
      <c r="M843" s="7"/>
      <c r="N843" s="7"/>
      <c r="O843" s="7"/>
      <c r="P843" s="7"/>
      <c r="Q843" s="7"/>
      <c r="R843" s="7"/>
      <c r="S843" s="7"/>
      <c r="T843" s="7"/>
      <c r="U843" s="7"/>
      <c r="V843" s="7"/>
      <c r="W843" s="7"/>
    </row>
    <row r="844" spans="1:23" ht="15.75" customHeight="1" x14ac:dyDescent="0.2">
      <c r="A844" s="7"/>
      <c r="B844" s="7"/>
      <c r="C844" s="7"/>
      <c r="D844" s="7"/>
      <c r="E844" s="7"/>
      <c r="F844" s="7"/>
      <c r="G844" s="7"/>
      <c r="H844" s="7"/>
      <c r="I844" s="7"/>
      <c r="J844" s="7"/>
      <c r="K844" s="7"/>
      <c r="L844" s="7"/>
      <c r="M844" s="7"/>
      <c r="N844" s="7"/>
      <c r="O844" s="7"/>
      <c r="P844" s="7"/>
      <c r="Q844" s="7"/>
      <c r="R844" s="7"/>
      <c r="S844" s="7"/>
      <c r="T844" s="7"/>
      <c r="U844" s="7"/>
      <c r="V844" s="7"/>
      <c r="W844" s="7"/>
    </row>
    <row r="845" spans="1:23" ht="15.75" customHeight="1" x14ac:dyDescent="0.2">
      <c r="A845" s="7"/>
      <c r="B845" s="7"/>
      <c r="C845" s="7"/>
      <c r="D845" s="7"/>
      <c r="E845" s="7"/>
      <c r="F845" s="7"/>
      <c r="G845" s="7"/>
      <c r="H845" s="7"/>
      <c r="I845" s="7"/>
      <c r="J845" s="7"/>
      <c r="K845" s="7"/>
      <c r="L845" s="7"/>
      <c r="M845" s="7"/>
      <c r="N845" s="7"/>
      <c r="O845" s="7"/>
      <c r="P845" s="7"/>
      <c r="Q845" s="7"/>
      <c r="R845" s="7"/>
      <c r="S845" s="7"/>
      <c r="T845" s="7"/>
      <c r="U845" s="7"/>
      <c r="V845" s="7"/>
      <c r="W845" s="7"/>
    </row>
    <row r="846" spans="1:23" ht="15.75" customHeight="1" x14ac:dyDescent="0.2">
      <c r="A846" s="7"/>
      <c r="B846" s="7"/>
      <c r="C846" s="7"/>
      <c r="D846" s="7"/>
      <c r="E846" s="7"/>
      <c r="F846" s="7"/>
      <c r="G846" s="7"/>
      <c r="H846" s="7"/>
      <c r="I846" s="7"/>
      <c r="J846" s="7"/>
      <c r="K846" s="7"/>
      <c r="L846" s="7"/>
      <c r="M846" s="7"/>
      <c r="N846" s="7"/>
      <c r="O846" s="7"/>
      <c r="P846" s="7"/>
      <c r="Q846" s="7"/>
      <c r="R846" s="7"/>
      <c r="S846" s="7"/>
      <c r="T846" s="7"/>
      <c r="U846" s="7"/>
      <c r="V846" s="7"/>
      <c r="W846" s="7"/>
    </row>
    <row r="847" spans="1:23" ht="15.75" customHeight="1" x14ac:dyDescent="0.2">
      <c r="A847" s="7"/>
      <c r="B847" s="7"/>
      <c r="C847" s="7"/>
      <c r="D847" s="7"/>
      <c r="E847" s="7"/>
      <c r="F847" s="7"/>
      <c r="G847" s="7"/>
      <c r="H847" s="7"/>
      <c r="I847" s="7"/>
      <c r="J847" s="7"/>
      <c r="K847" s="7"/>
      <c r="L847" s="7"/>
      <c r="M847" s="7"/>
      <c r="N847" s="7"/>
      <c r="O847" s="7"/>
      <c r="P847" s="7"/>
      <c r="Q847" s="7"/>
      <c r="R847" s="7"/>
      <c r="S847" s="7"/>
      <c r="T847" s="7"/>
      <c r="U847" s="7"/>
      <c r="V847" s="7"/>
      <c r="W847" s="7"/>
    </row>
    <row r="848" spans="1:23" ht="15.75" customHeight="1" x14ac:dyDescent="0.2">
      <c r="A848" s="7"/>
      <c r="B848" s="7"/>
      <c r="C848" s="7"/>
      <c r="D848" s="7"/>
      <c r="E848" s="7"/>
      <c r="F848" s="7"/>
      <c r="G848" s="7"/>
      <c r="H848" s="7"/>
      <c r="I848" s="7"/>
      <c r="J848" s="7"/>
      <c r="K848" s="7"/>
      <c r="L848" s="7"/>
      <c r="M848" s="7"/>
      <c r="N848" s="7"/>
      <c r="O848" s="7"/>
      <c r="P848" s="7"/>
      <c r="Q848" s="7"/>
      <c r="R848" s="7"/>
      <c r="S848" s="7"/>
      <c r="T848" s="7"/>
      <c r="U848" s="7"/>
      <c r="V848" s="7"/>
      <c r="W848" s="7"/>
    </row>
    <row r="849" spans="1:23" ht="15.75" customHeight="1" x14ac:dyDescent="0.2">
      <c r="A849" s="7"/>
      <c r="B849" s="7"/>
      <c r="C849" s="7"/>
      <c r="D849" s="7"/>
      <c r="E849" s="7"/>
      <c r="F849" s="7"/>
      <c r="G849" s="7"/>
      <c r="H849" s="7"/>
      <c r="I849" s="7"/>
      <c r="J849" s="7"/>
      <c r="K849" s="7"/>
      <c r="L849" s="7"/>
      <c r="M849" s="7"/>
      <c r="N849" s="7"/>
      <c r="O849" s="7"/>
      <c r="P849" s="7"/>
      <c r="Q849" s="7"/>
      <c r="R849" s="7"/>
      <c r="S849" s="7"/>
      <c r="T849" s="7"/>
      <c r="U849" s="7"/>
      <c r="V849" s="7"/>
      <c r="W849" s="7"/>
    </row>
    <row r="850" spans="1:23" ht="15.75" customHeight="1" x14ac:dyDescent="0.2">
      <c r="A850" s="7"/>
      <c r="B850" s="7"/>
      <c r="C850" s="7"/>
      <c r="D850" s="7"/>
      <c r="E850" s="7"/>
      <c r="F850" s="7"/>
      <c r="G850" s="7"/>
      <c r="H850" s="7"/>
      <c r="I850" s="7"/>
      <c r="J850" s="7"/>
      <c r="K850" s="7"/>
      <c r="L850" s="7"/>
      <c r="M850" s="7"/>
      <c r="N850" s="7"/>
      <c r="O850" s="7"/>
      <c r="P850" s="7"/>
      <c r="Q850" s="7"/>
      <c r="R850" s="7"/>
      <c r="S850" s="7"/>
      <c r="T850" s="7"/>
      <c r="U850" s="7"/>
      <c r="V850" s="7"/>
      <c r="W850" s="7"/>
    </row>
    <row r="851" spans="1:23" ht="15.75" customHeight="1" x14ac:dyDescent="0.2">
      <c r="A851" s="7"/>
      <c r="B851" s="7"/>
      <c r="C851" s="7"/>
      <c r="D851" s="7"/>
      <c r="E851" s="7"/>
      <c r="F851" s="7"/>
      <c r="G851" s="7"/>
      <c r="H851" s="7"/>
      <c r="I851" s="7"/>
      <c r="J851" s="7"/>
      <c r="K851" s="7"/>
      <c r="L851" s="7"/>
      <c r="M851" s="7"/>
      <c r="N851" s="7"/>
      <c r="O851" s="7"/>
      <c r="P851" s="7"/>
      <c r="Q851" s="7"/>
      <c r="R851" s="7"/>
      <c r="S851" s="7"/>
      <c r="T851" s="7"/>
      <c r="U851" s="7"/>
      <c r="V851" s="7"/>
      <c r="W851" s="7"/>
    </row>
    <row r="852" spans="1:23" ht="15.75" customHeight="1" x14ac:dyDescent="0.2">
      <c r="A852" s="7"/>
      <c r="B852" s="7"/>
      <c r="C852" s="7"/>
      <c r="D852" s="7"/>
      <c r="E852" s="7"/>
      <c r="F852" s="7"/>
      <c r="G852" s="7"/>
      <c r="H852" s="7"/>
      <c r="I852" s="7"/>
      <c r="J852" s="7"/>
      <c r="K852" s="7"/>
      <c r="L852" s="7"/>
      <c r="M852" s="7"/>
      <c r="N852" s="7"/>
      <c r="O852" s="7"/>
      <c r="P852" s="7"/>
      <c r="Q852" s="7"/>
      <c r="R852" s="7"/>
      <c r="S852" s="7"/>
      <c r="T852" s="7"/>
      <c r="U852" s="7"/>
      <c r="V852" s="7"/>
      <c r="W852" s="7"/>
    </row>
    <row r="853" spans="1:23" ht="15.75" customHeight="1" x14ac:dyDescent="0.2">
      <c r="A853" s="7"/>
      <c r="B853" s="7"/>
      <c r="C853" s="7"/>
      <c r="D853" s="7"/>
      <c r="E853" s="7"/>
      <c r="F853" s="7"/>
      <c r="G853" s="7"/>
      <c r="H853" s="7"/>
      <c r="I853" s="7"/>
      <c r="J853" s="7"/>
      <c r="K853" s="7"/>
      <c r="L853" s="7"/>
      <c r="M853" s="7"/>
      <c r="N853" s="7"/>
      <c r="O853" s="7"/>
      <c r="P853" s="7"/>
      <c r="Q853" s="7"/>
      <c r="R853" s="7"/>
      <c r="S853" s="7"/>
      <c r="T853" s="7"/>
      <c r="U853" s="7"/>
      <c r="V853" s="7"/>
      <c r="W853" s="7"/>
    </row>
    <row r="854" spans="1:23" ht="15.75" customHeight="1" x14ac:dyDescent="0.2">
      <c r="A854" s="7"/>
      <c r="B854" s="7"/>
      <c r="C854" s="7"/>
      <c r="D854" s="7"/>
      <c r="E854" s="7"/>
      <c r="F854" s="7"/>
      <c r="G854" s="7"/>
      <c r="H854" s="7"/>
      <c r="I854" s="7"/>
      <c r="J854" s="7"/>
      <c r="K854" s="7"/>
      <c r="L854" s="7"/>
      <c r="M854" s="7"/>
      <c r="N854" s="7"/>
      <c r="O854" s="7"/>
      <c r="P854" s="7"/>
      <c r="Q854" s="7"/>
      <c r="R854" s="7"/>
      <c r="S854" s="7"/>
      <c r="T854" s="7"/>
      <c r="U854" s="7"/>
      <c r="V854" s="7"/>
      <c r="W854" s="7"/>
    </row>
    <row r="855" spans="1:23" ht="15.75" customHeight="1" x14ac:dyDescent="0.2">
      <c r="A855" s="7"/>
      <c r="B855" s="7"/>
      <c r="C855" s="7"/>
      <c r="D855" s="7"/>
      <c r="E855" s="7"/>
      <c r="F855" s="7"/>
      <c r="G855" s="7"/>
      <c r="H855" s="7"/>
      <c r="I855" s="7"/>
      <c r="J855" s="7"/>
      <c r="K855" s="7"/>
      <c r="L855" s="7"/>
      <c r="M855" s="7"/>
      <c r="N855" s="7"/>
      <c r="O855" s="7"/>
      <c r="P855" s="7"/>
      <c r="Q855" s="7"/>
      <c r="R855" s="7"/>
      <c r="S855" s="7"/>
      <c r="T855" s="7"/>
      <c r="U855" s="7"/>
      <c r="V855" s="7"/>
      <c r="W855" s="7"/>
    </row>
    <row r="856" spans="1:23" ht="15.75" customHeight="1" x14ac:dyDescent="0.2">
      <c r="A856" s="7"/>
      <c r="B856" s="7"/>
      <c r="C856" s="7"/>
      <c r="D856" s="7"/>
      <c r="E856" s="7"/>
      <c r="F856" s="7"/>
      <c r="G856" s="7"/>
      <c r="H856" s="7"/>
      <c r="I856" s="7"/>
      <c r="J856" s="7"/>
      <c r="K856" s="7"/>
      <c r="L856" s="7"/>
      <c r="M856" s="7"/>
      <c r="N856" s="7"/>
      <c r="O856" s="7"/>
      <c r="P856" s="7"/>
      <c r="Q856" s="7"/>
      <c r="R856" s="7"/>
      <c r="S856" s="7"/>
      <c r="T856" s="7"/>
      <c r="U856" s="7"/>
      <c r="V856" s="7"/>
      <c r="W856" s="7"/>
    </row>
    <row r="857" spans="1:23" ht="15.75" customHeight="1" x14ac:dyDescent="0.2">
      <c r="A857" s="7"/>
      <c r="B857" s="7"/>
      <c r="C857" s="7"/>
      <c r="D857" s="7"/>
      <c r="E857" s="7"/>
      <c r="F857" s="7"/>
      <c r="G857" s="7"/>
      <c r="H857" s="7"/>
      <c r="I857" s="7"/>
      <c r="J857" s="7"/>
      <c r="K857" s="7"/>
      <c r="L857" s="7"/>
      <c r="M857" s="7"/>
      <c r="N857" s="7"/>
      <c r="O857" s="7"/>
      <c r="P857" s="7"/>
      <c r="Q857" s="7"/>
      <c r="R857" s="7"/>
      <c r="S857" s="7"/>
      <c r="T857" s="7"/>
      <c r="U857" s="7"/>
      <c r="V857" s="7"/>
      <c r="W857" s="7"/>
    </row>
    <row r="858" spans="1:23" ht="15.75" customHeight="1" x14ac:dyDescent="0.2">
      <c r="A858" s="7"/>
      <c r="B858" s="7"/>
      <c r="C858" s="7"/>
      <c r="D858" s="7"/>
      <c r="E858" s="7"/>
      <c r="F858" s="7"/>
      <c r="G858" s="7"/>
      <c r="H858" s="7"/>
      <c r="I858" s="7"/>
      <c r="J858" s="7"/>
      <c r="K858" s="7"/>
      <c r="L858" s="7"/>
      <c r="M858" s="7"/>
      <c r="N858" s="7"/>
      <c r="O858" s="7"/>
      <c r="P858" s="7"/>
      <c r="Q858" s="7"/>
      <c r="R858" s="7"/>
      <c r="S858" s="7"/>
      <c r="T858" s="7"/>
      <c r="U858" s="7"/>
      <c r="V858" s="7"/>
      <c r="W858" s="7"/>
    </row>
    <row r="859" spans="1:23" ht="15.75" customHeight="1" x14ac:dyDescent="0.2">
      <c r="A859" s="7"/>
      <c r="B859" s="7"/>
      <c r="C859" s="7"/>
      <c r="D859" s="7"/>
      <c r="E859" s="7"/>
      <c r="F859" s="7"/>
      <c r="G859" s="7"/>
      <c r="H859" s="7"/>
      <c r="I859" s="7"/>
      <c r="J859" s="7"/>
      <c r="K859" s="7"/>
      <c r="L859" s="7"/>
      <c r="M859" s="7"/>
      <c r="N859" s="7"/>
      <c r="O859" s="7"/>
      <c r="P859" s="7"/>
      <c r="Q859" s="7"/>
      <c r="R859" s="7"/>
      <c r="S859" s="7"/>
      <c r="T859" s="7"/>
      <c r="U859" s="7"/>
      <c r="V859" s="7"/>
      <c r="W859" s="7"/>
    </row>
    <row r="860" spans="1:23" ht="15.75" customHeight="1" x14ac:dyDescent="0.2">
      <c r="A860" s="7"/>
      <c r="B860" s="7"/>
      <c r="C860" s="7"/>
      <c r="D860" s="7"/>
      <c r="E860" s="7"/>
      <c r="F860" s="7"/>
      <c r="G860" s="7"/>
      <c r="H860" s="7"/>
      <c r="I860" s="7"/>
      <c r="J860" s="7"/>
      <c r="K860" s="7"/>
      <c r="L860" s="7"/>
      <c r="M860" s="7"/>
      <c r="N860" s="7"/>
      <c r="O860" s="7"/>
      <c r="P860" s="7"/>
      <c r="Q860" s="7"/>
      <c r="R860" s="7"/>
      <c r="S860" s="7"/>
      <c r="T860" s="7"/>
      <c r="U860" s="7"/>
      <c r="V860" s="7"/>
      <c r="W860" s="7"/>
    </row>
    <row r="861" spans="1:23" ht="15.75" customHeight="1" x14ac:dyDescent="0.2">
      <c r="A861" s="7"/>
      <c r="B861" s="7"/>
      <c r="C861" s="7"/>
      <c r="D861" s="7"/>
      <c r="E861" s="7"/>
      <c r="F861" s="7"/>
      <c r="G861" s="7"/>
      <c r="H861" s="7"/>
      <c r="I861" s="7"/>
      <c r="J861" s="7"/>
      <c r="K861" s="7"/>
      <c r="L861" s="7"/>
      <c r="M861" s="7"/>
      <c r="N861" s="7"/>
      <c r="O861" s="7"/>
      <c r="P861" s="7"/>
      <c r="Q861" s="7"/>
      <c r="R861" s="7"/>
      <c r="S861" s="7"/>
      <c r="T861" s="7"/>
      <c r="U861" s="7"/>
      <c r="V861" s="7"/>
      <c r="W861" s="7"/>
    </row>
    <row r="862" spans="1:23" ht="15.75" customHeight="1" x14ac:dyDescent="0.2">
      <c r="A862" s="7"/>
      <c r="B862" s="7"/>
      <c r="C862" s="7"/>
      <c r="D862" s="7"/>
      <c r="E862" s="7"/>
      <c r="F862" s="7"/>
      <c r="G862" s="7"/>
      <c r="H862" s="7"/>
      <c r="I862" s="7"/>
      <c r="J862" s="7"/>
      <c r="K862" s="7"/>
      <c r="L862" s="7"/>
      <c r="M862" s="7"/>
      <c r="N862" s="7"/>
      <c r="O862" s="7"/>
      <c r="P862" s="7"/>
      <c r="Q862" s="7"/>
      <c r="R862" s="7"/>
      <c r="S862" s="7"/>
      <c r="T862" s="7"/>
      <c r="U862" s="7"/>
      <c r="V862" s="7"/>
      <c r="W862" s="7"/>
    </row>
    <row r="863" spans="1:23" ht="15.75" customHeight="1" x14ac:dyDescent="0.2">
      <c r="A863" s="7"/>
      <c r="B863" s="7"/>
      <c r="C863" s="7"/>
      <c r="D863" s="7"/>
      <c r="E863" s="7"/>
      <c r="F863" s="7"/>
      <c r="G863" s="7"/>
      <c r="H863" s="7"/>
      <c r="I863" s="7"/>
      <c r="J863" s="7"/>
      <c r="K863" s="7"/>
      <c r="L863" s="7"/>
      <c r="M863" s="7"/>
      <c r="N863" s="7"/>
      <c r="O863" s="7"/>
      <c r="P863" s="7"/>
      <c r="Q863" s="7"/>
      <c r="R863" s="7"/>
      <c r="S863" s="7"/>
      <c r="T863" s="7"/>
      <c r="U863" s="7"/>
      <c r="V863" s="7"/>
      <c r="W863" s="7"/>
    </row>
    <row r="864" spans="1:23" ht="15.75" customHeight="1" x14ac:dyDescent="0.2">
      <c r="A864" s="7"/>
      <c r="B864" s="7"/>
      <c r="C864" s="7"/>
      <c r="D864" s="7"/>
      <c r="E864" s="7"/>
      <c r="F864" s="7"/>
      <c r="G864" s="7"/>
      <c r="H864" s="7"/>
      <c r="I864" s="7"/>
      <c r="J864" s="7"/>
      <c r="K864" s="7"/>
      <c r="L864" s="7"/>
      <c r="M864" s="7"/>
      <c r="N864" s="7"/>
      <c r="O864" s="7"/>
      <c r="P864" s="7"/>
      <c r="Q864" s="7"/>
      <c r="R864" s="7"/>
      <c r="S864" s="7"/>
      <c r="T864" s="7"/>
      <c r="U864" s="7"/>
      <c r="V864" s="7"/>
      <c r="W864" s="7"/>
    </row>
    <row r="865" spans="1:23" ht="15.75" customHeight="1" x14ac:dyDescent="0.2">
      <c r="A865" s="7"/>
      <c r="B865" s="7"/>
      <c r="C865" s="7"/>
      <c r="D865" s="7"/>
      <c r="E865" s="7"/>
      <c r="F865" s="7"/>
      <c r="G865" s="7"/>
      <c r="H865" s="7"/>
      <c r="I865" s="7"/>
      <c r="J865" s="7"/>
      <c r="K865" s="7"/>
      <c r="L865" s="7"/>
      <c r="M865" s="7"/>
      <c r="N865" s="7"/>
      <c r="O865" s="7"/>
      <c r="P865" s="7"/>
      <c r="Q865" s="7"/>
      <c r="R865" s="7"/>
      <c r="S865" s="7"/>
      <c r="T865" s="7"/>
      <c r="U865" s="7"/>
      <c r="V865" s="7"/>
      <c r="W865" s="7"/>
    </row>
    <row r="866" spans="1:23" ht="15.75" customHeight="1" x14ac:dyDescent="0.2">
      <c r="A866" s="7"/>
      <c r="B866" s="7"/>
      <c r="C866" s="7"/>
      <c r="D866" s="7"/>
      <c r="E866" s="7"/>
      <c r="F866" s="7"/>
      <c r="G866" s="7"/>
      <c r="H866" s="7"/>
      <c r="I866" s="7"/>
      <c r="J866" s="7"/>
      <c r="K866" s="7"/>
      <c r="L866" s="7"/>
      <c r="M866" s="7"/>
      <c r="N866" s="7"/>
      <c r="O866" s="7"/>
      <c r="P866" s="7"/>
      <c r="Q866" s="7"/>
      <c r="R866" s="7"/>
      <c r="S866" s="7"/>
      <c r="T866" s="7"/>
      <c r="U866" s="7"/>
      <c r="V866" s="7"/>
      <c r="W866" s="7"/>
    </row>
    <row r="867" spans="1:23" ht="15.75" customHeight="1" x14ac:dyDescent="0.2">
      <c r="A867" s="7"/>
      <c r="B867" s="7"/>
      <c r="C867" s="7"/>
      <c r="D867" s="7"/>
      <c r="E867" s="7"/>
      <c r="F867" s="7"/>
      <c r="G867" s="7"/>
      <c r="H867" s="7"/>
      <c r="I867" s="7"/>
      <c r="J867" s="7"/>
      <c r="K867" s="7"/>
      <c r="L867" s="7"/>
      <c r="M867" s="7"/>
      <c r="N867" s="7"/>
      <c r="O867" s="7"/>
      <c r="P867" s="7"/>
      <c r="Q867" s="7"/>
      <c r="R867" s="7"/>
      <c r="S867" s="7"/>
      <c r="T867" s="7"/>
      <c r="U867" s="7"/>
      <c r="V867" s="7"/>
      <c r="W867" s="7"/>
    </row>
    <row r="868" spans="1:23" ht="15.75" customHeight="1" x14ac:dyDescent="0.2">
      <c r="A868" s="7"/>
      <c r="B868" s="7"/>
      <c r="C868" s="7"/>
      <c r="D868" s="7"/>
      <c r="E868" s="7"/>
      <c r="F868" s="7"/>
      <c r="G868" s="7"/>
      <c r="H868" s="7"/>
      <c r="I868" s="7"/>
      <c r="J868" s="7"/>
      <c r="K868" s="7"/>
      <c r="L868" s="7"/>
      <c r="M868" s="7"/>
      <c r="N868" s="7"/>
      <c r="O868" s="7"/>
      <c r="P868" s="7"/>
      <c r="Q868" s="7"/>
      <c r="R868" s="7"/>
      <c r="S868" s="7"/>
      <c r="T868" s="7"/>
      <c r="U868" s="7"/>
      <c r="V868" s="7"/>
      <c r="W868" s="7"/>
    </row>
    <row r="869" spans="1:23" ht="15.75" customHeight="1" x14ac:dyDescent="0.2">
      <c r="A869" s="7"/>
      <c r="B869" s="7"/>
      <c r="C869" s="7"/>
      <c r="D869" s="7"/>
      <c r="E869" s="7"/>
      <c r="F869" s="7"/>
      <c r="G869" s="7"/>
      <c r="H869" s="7"/>
      <c r="I869" s="7"/>
      <c r="J869" s="7"/>
      <c r="K869" s="7"/>
      <c r="L869" s="7"/>
      <c r="M869" s="7"/>
      <c r="N869" s="7"/>
      <c r="O869" s="7"/>
      <c r="P869" s="7"/>
      <c r="Q869" s="7"/>
      <c r="R869" s="7"/>
      <c r="S869" s="7"/>
      <c r="T869" s="7"/>
      <c r="U869" s="7"/>
      <c r="V869" s="7"/>
      <c r="W869" s="7"/>
    </row>
    <row r="870" spans="1:23" ht="15.75" customHeight="1" x14ac:dyDescent="0.2">
      <c r="A870" s="7"/>
      <c r="B870" s="7"/>
      <c r="C870" s="7"/>
      <c r="D870" s="7"/>
      <c r="E870" s="7"/>
      <c r="F870" s="7"/>
      <c r="G870" s="7"/>
      <c r="H870" s="7"/>
      <c r="I870" s="7"/>
      <c r="J870" s="7"/>
      <c r="K870" s="7"/>
      <c r="L870" s="7"/>
      <c r="M870" s="7"/>
      <c r="N870" s="7"/>
      <c r="O870" s="7"/>
      <c r="P870" s="7"/>
      <c r="Q870" s="7"/>
      <c r="R870" s="7"/>
      <c r="S870" s="7"/>
      <c r="T870" s="7"/>
      <c r="U870" s="7"/>
      <c r="V870" s="7"/>
      <c r="W870" s="7"/>
    </row>
    <row r="871" spans="1:23" ht="15.75" customHeight="1" x14ac:dyDescent="0.2">
      <c r="A871" s="7"/>
      <c r="B871" s="7"/>
      <c r="C871" s="7"/>
      <c r="D871" s="7"/>
      <c r="E871" s="7"/>
      <c r="F871" s="7"/>
      <c r="G871" s="7"/>
      <c r="H871" s="7"/>
      <c r="I871" s="7"/>
      <c r="J871" s="7"/>
      <c r="K871" s="7"/>
      <c r="L871" s="7"/>
      <c r="M871" s="7"/>
      <c r="N871" s="7"/>
      <c r="O871" s="7"/>
      <c r="P871" s="7"/>
      <c r="Q871" s="7"/>
      <c r="R871" s="7"/>
      <c r="S871" s="7"/>
      <c r="T871" s="7"/>
      <c r="U871" s="7"/>
      <c r="V871" s="7"/>
      <c r="W871" s="7"/>
    </row>
    <row r="872" spans="1:23" ht="15.75" customHeight="1" x14ac:dyDescent="0.2">
      <c r="A872" s="7"/>
      <c r="B872" s="7"/>
      <c r="C872" s="7"/>
      <c r="D872" s="7"/>
      <c r="E872" s="7"/>
      <c r="F872" s="7"/>
      <c r="G872" s="7"/>
      <c r="H872" s="7"/>
      <c r="I872" s="7"/>
      <c r="J872" s="7"/>
      <c r="K872" s="7"/>
      <c r="L872" s="7"/>
      <c r="M872" s="7"/>
      <c r="N872" s="7"/>
      <c r="O872" s="7"/>
      <c r="P872" s="7"/>
      <c r="Q872" s="7"/>
      <c r="R872" s="7"/>
      <c r="S872" s="7"/>
      <c r="T872" s="7"/>
      <c r="U872" s="7"/>
      <c r="V872" s="7"/>
      <c r="W872" s="7"/>
    </row>
    <row r="873" spans="1:23" ht="15.75" customHeight="1" x14ac:dyDescent="0.2">
      <c r="A873" s="7"/>
      <c r="B873" s="7"/>
      <c r="C873" s="7"/>
      <c r="D873" s="7"/>
      <c r="E873" s="7"/>
      <c r="F873" s="7"/>
      <c r="G873" s="7"/>
      <c r="H873" s="7"/>
      <c r="I873" s="7"/>
      <c r="J873" s="7"/>
      <c r="K873" s="7"/>
      <c r="L873" s="7"/>
      <c r="M873" s="7"/>
      <c r="N873" s="7"/>
      <c r="O873" s="7"/>
      <c r="P873" s="7"/>
      <c r="Q873" s="7"/>
      <c r="R873" s="7"/>
      <c r="S873" s="7"/>
      <c r="T873" s="7"/>
      <c r="U873" s="7"/>
      <c r="V873" s="7"/>
      <c r="W873" s="7"/>
    </row>
    <row r="874" spans="1:23" ht="15.75" customHeight="1" x14ac:dyDescent="0.2">
      <c r="A874" s="7"/>
      <c r="B874" s="7"/>
      <c r="C874" s="7"/>
      <c r="D874" s="7"/>
      <c r="E874" s="7"/>
      <c r="F874" s="7"/>
      <c r="G874" s="7"/>
      <c r="H874" s="7"/>
      <c r="I874" s="7"/>
      <c r="J874" s="7"/>
      <c r="K874" s="7"/>
      <c r="L874" s="7"/>
      <c r="M874" s="7"/>
      <c r="N874" s="7"/>
      <c r="O874" s="7"/>
      <c r="P874" s="7"/>
      <c r="Q874" s="7"/>
      <c r="R874" s="7"/>
      <c r="S874" s="7"/>
      <c r="T874" s="7"/>
      <c r="U874" s="7"/>
      <c r="V874" s="7"/>
      <c r="W874" s="7"/>
    </row>
    <row r="875" spans="1:23" ht="15.75" customHeight="1" x14ac:dyDescent="0.2">
      <c r="A875" s="7"/>
      <c r="B875" s="7"/>
      <c r="C875" s="7"/>
      <c r="D875" s="7"/>
      <c r="E875" s="7"/>
      <c r="F875" s="7"/>
      <c r="G875" s="7"/>
      <c r="H875" s="7"/>
      <c r="I875" s="7"/>
      <c r="J875" s="7"/>
      <c r="K875" s="7"/>
      <c r="L875" s="7"/>
      <c r="M875" s="7"/>
      <c r="N875" s="7"/>
      <c r="O875" s="7"/>
      <c r="P875" s="7"/>
      <c r="Q875" s="7"/>
      <c r="R875" s="7"/>
      <c r="S875" s="7"/>
      <c r="T875" s="7"/>
      <c r="U875" s="7"/>
      <c r="V875" s="7"/>
      <c r="W875" s="7"/>
    </row>
    <row r="876" spans="1:23" ht="15.75" customHeight="1" x14ac:dyDescent="0.2">
      <c r="A876" s="7"/>
      <c r="B876" s="7"/>
      <c r="C876" s="7"/>
      <c r="D876" s="7"/>
      <c r="E876" s="7"/>
      <c r="F876" s="7"/>
      <c r="G876" s="7"/>
      <c r="H876" s="7"/>
      <c r="I876" s="7"/>
      <c r="J876" s="7"/>
      <c r="K876" s="7"/>
      <c r="L876" s="7"/>
      <c r="M876" s="7"/>
      <c r="N876" s="7"/>
      <c r="O876" s="7"/>
      <c r="P876" s="7"/>
      <c r="Q876" s="7"/>
      <c r="R876" s="7"/>
      <c r="S876" s="7"/>
      <c r="T876" s="7"/>
      <c r="U876" s="7"/>
      <c r="V876" s="7"/>
      <c r="W876" s="7"/>
    </row>
    <row r="877" spans="1:23" ht="15.75" customHeight="1" x14ac:dyDescent="0.2">
      <c r="A877" s="7"/>
      <c r="B877" s="7"/>
      <c r="C877" s="7"/>
      <c r="D877" s="7"/>
      <c r="E877" s="7"/>
      <c r="F877" s="7"/>
      <c r="G877" s="7"/>
      <c r="H877" s="7"/>
      <c r="I877" s="7"/>
      <c r="J877" s="7"/>
      <c r="K877" s="7"/>
      <c r="L877" s="7"/>
      <c r="M877" s="7"/>
      <c r="N877" s="7"/>
      <c r="O877" s="7"/>
      <c r="P877" s="7"/>
      <c r="Q877" s="7"/>
      <c r="R877" s="7"/>
      <c r="S877" s="7"/>
      <c r="T877" s="7"/>
      <c r="U877" s="7"/>
      <c r="V877" s="7"/>
      <c r="W877" s="7"/>
    </row>
    <row r="878" spans="1:23" ht="15.75" customHeight="1" x14ac:dyDescent="0.2">
      <c r="A878" s="7"/>
      <c r="B878" s="7"/>
      <c r="C878" s="7"/>
      <c r="D878" s="7"/>
      <c r="E878" s="7"/>
      <c r="F878" s="7"/>
      <c r="G878" s="7"/>
      <c r="H878" s="7"/>
      <c r="I878" s="7"/>
      <c r="J878" s="7"/>
      <c r="K878" s="7"/>
      <c r="L878" s="7"/>
      <c r="M878" s="7"/>
      <c r="N878" s="7"/>
      <c r="O878" s="7"/>
      <c r="P878" s="7"/>
      <c r="Q878" s="7"/>
      <c r="R878" s="7"/>
      <c r="S878" s="7"/>
      <c r="T878" s="7"/>
      <c r="U878" s="7"/>
      <c r="V878" s="7"/>
      <c r="W878" s="7"/>
    </row>
    <row r="879" spans="1:23" ht="15.75" customHeight="1" x14ac:dyDescent="0.2">
      <c r="A879" s="7"/>
      <c r="B879" s="7"/>
      <c r="C879" s="7"/>
      <c r="D879" s="7"/>
      <c r="E879" s="7"/>
      <c r="F879" s="7"/>
      <c r="G879" s="7"/>
      <c r="H879" s="7"/>
      <c r="I879" s="7"/>
      <c r="J879" s="7"/>
      <c r="K879" s="7"/>
      <c r="L879" s="7"/>
      <c r="M879" s="7"/>
      <c r="N879" s="7"/>
      <c r="O879" s="7"/>
      <c r="P879" s="7"/>
      <c r="Q879" s="7"/>
      <c r="R879" s="7"/>
      <c r="S879" s="7"/>
      <c r="T879" s="7"/>
      <c r="U879" s="7"/>
      <c r="V879" s="7"/>
      <c r="W879" s="7"/>
    </row>
    <row r="880" spans="1:23" ht="15.75" customHeight="1" x14ac:dyDescent="0.2">
      <c r="A880" s="7"/>
      <c r="B880" s="7"/>
      <c r="C880" s="7"/>
      <c r="D880" s="7"/>
      <c r="E880" s="7"/>
      <c r="F880" s="7"/>
      <c r="G880" s="7"/>
      <c r="H880" s="7"/>
      <c r="I880" s="7"/>
      <c r="J880" s="7"/>
      <c r="K880" s="7"/>
      <c r="L880" s="7"/>
      <c r="M880" s="7"/>
      <c r="N880" s="7"/>
      <c r="O880" s="7"/>
      <c r="P880" s="7"/>
      <c r="Q880" s="7"/>
      <c r="R880" s="7"/>
      <c r="S880" s="7"/>
      <c r="T880" s="7"/>
      <c r="U880" s="7"/>
      <c r="V880" s="7"/>
      <c r="W880" s="7"/>
    </row>
    <row r="881" spans="1:23" ht="15.75" customHeight="1" x14ac:dyDescent="0.2">
      <c r="A881" s="7"/>
      <c r="B881" s="7"/>
      <c r="C881" s="7"/>
      <c r="D881" s="7"/>
      <c r="E881" s="7"/>
      <c r="F881" s="7"/>
      <c r="G881" s="7"/>
      <c r="H881" s="7"/>
      <c r="I881" s="7"/>
      <c r="J881" s="7"/>
      <c r="K881" s="7"/>
      <c r="L881" s="7"/>
      <c r="M881" s="7"/>
      <c r="N881" s="7"/>
      <c r="O881" s="7"/>
      <c r="P881" s="7"/>
      <c r="Q881" s="7"/>
      <c r="R881" s="7"/>
      <c r="S881" s="7"/>
      <c r="T881" s="7"/>
      <c r="U881" s="7"/>
      <c r="V881" s="7"/>
      <c r="W881" s="7"/>
    </row>
    <row r="882" spans="1:23" ht="15.75" customHeight="1" x14ac:dyDescent="0.2">
      <c r="A882" s="7"/>
      <c r="B882" s="7"/>
      <c r="C882" s="7"/>
      <c r="D882" s="7"/>
      <c r="E882" s="7"/>
      <c r="F882" s="7"/>
      <c r="G882" s="7"/>
      <c r="H882" s="7"/>
      <c r="I882" s="7"/>
      <c r="J882" s="7"/>
      <c r="K882" s="7"/>
      <c r="L882" s="7"/>
      <c r="M882" s="7"/>
      <c r="N882" s="7"/>
      <c r="O882" s="7"/>
      <c r="P882" s="7"/>
      <c r="Q882" s="7"/>
      <c r="R882" s="7"/>
      <c r="S882" s="7"/>
      <c r="T882" s="7"/>
      <c r="U882" s="7"/>
      <c r="V882" s="7"/>
      <c r="W882" s="7"/>
    </row>
    <row r="883" spans="1:23" ht="15.75" customHeight="1" x14ac:dyDescent="0.2">
      <c r="A883" s="7"/>
      <c r="B883" s="7"/>
      <c r="C883" s="7"/>
      <c r="D883" s="7"/>
      <c r="E883" s="7"/>
      <c r="F883" s="7"/>
      <c r="G883" s="7"/>
      <c r="H883" s="7"/>
      <c r="I883" s="7"/>
      <c r="J883" s="7"/>
      <c r="K883" s="7"/>
      <c r="L883" s="7"/>
      <c r="M883" s="7"/>
      <c r="N883" s="7"/>
      <c r="O883" s="7"/>
      <c r="P883" s="7"/>
      <c r="Q883" s="7"/>
      <c r="R883" s="7"/>
      <c r="S883" s="7"/>
      <c r="T883" s="7"/>
      <c r="U883" s="7"/>
      <c r="V883" s="7"/>
      <c r="W883" s="7"/>
    </row>
    <row r="884" spans="1:23" ht="15.75" customHeight="1" x14ac:dyDescent="0.2">
      <c r="A884" s="7"/>
      <c r="B884" s="7"/>
      <c r="C884" s="7"/>
      <c r="D884" s="7"/>
      <c r="E884" s="7"/>
      <c r="F884" s="7"/>
      <c r="G884" s="7"/>
      <c r="H884" s="7"/>
      <c r="I884" s="7"/>
      <c r="J884" s="7"/>
      <c r="K884" s="7"/>
      <c r="L884" s="7"/>
      <c r="M884" s="7"/>
      <c r="N884" s="7"/>
      <c r="O884" s="7"/>
      <c r="P884" s="7"/>
      <c r="Q884" s="7"/>
      <c r="R884" s="7"/>
      <c r="S884" s="7"/>
      <c r="T884" s="7"/>
      <c r="U884" s="7"/>
      <c r="V884" s="7"/>
      <c r="W884" s="7"/>
    </row>
    <row r="885" spans="1:23" ht="15.75" customHeight="1" x14ac:dyDescent="0.2">
      <c r="A885" s="7"/>
      <c r="B885" s="7"/>
      <c r="C885" s="7"/>
      <c r="D885" s="7"/>
      <c r="E885" s="7"/>
      <c r="F885" s="7"/>
      <c r="G885" s="7"/>
      <c r="H885" s="7"/>
      <c r="I885" s="7"/>
      <c r="J885" s="7"/>
      <c r="K885" s="7"/>
      <c r="L885" s="7"/>
      <c r="M885" s="7"/>
      <c r="N885" s="7"/>
      <c r="O885" s="7"/>
      <c r="P885" s="7"/>
      <c r="Q885" s="7"/>
      <c r="R885" s="7"/>
      <c r="S885" s="7"/>
      <c r="T885" s="7"/>
      <c r="U885" s="7"/>
      <c r="V885" s="7"/>
      <c r="W885" s="7"/>
    </row>
    <row r="886" spans="1:23" ht="15.75" customHeight="1" x14ac:dyDescent="0.2">
      <c r="A886" s="7"/>
      <c r="B886" s="7"/>
      <c r="C886" s="7"/>
      <c r="D886" s="7"/>
      <c r="E886" s="7"/>
      <c r="F886" s="7"/>
      <c r="G886" s="7"/>
      <c r="H886" s="7"/>
      <c r="I886" s="7"/>
      <c r="J886" s="7"/>
      <c r="K886" s="7"/>
      <c r="L886" s="7"/>
      <c r="M886" s="7"/>
      <c r="N886" s="7"/>
      <c r="O886" s="7"/>
      <c r="P886" s="7"/>
      <c r="Q886" s="7"/>
      <c r="R886" s="7"/>
      <c r="S886" s="7"/>
      <c r="T886" s="7"/>
      <c r="U886" s="7"/>
      <c r="V886" s="7"/>
      <c r="W886" s="7"/>
    </row>
    <row r="887" spans="1:23" ht="15.75" customHeight="1" x14ac:dyDescent="0.2">
      <c r="A887" s="7"/>
      <c r="B887" s="7"/>
      <c r="C887" s="7"/>
      <c r="D887" s="7"/>
      <c r="E887" s="7"/>
      <c r="F887" s="7"/>
      <c r="G887" s="7"/>
      <c r="H887" s="7"/>
      <c r="I887" s="7"/>
      <c r="J887" s="7"/>
      <c r="K887" s="7"/>
      <c r="L887" s="7"/>
      <c r="M887" s="7"/>
      <c r="N887" s="7"/>
      <c r="O887" s="7"/>
      <c r="P887" s="7"/>
      <c r="Q887" s="7"/>
      <c r="R887" s="7"/>
      <c r="S887" s="7"/>
      <c r="T887" s="7"/>
      <c r="U887" s="7"/>
      <c r="V887" s="7"/>
      <c r="W887" s="7"/>
    </row>
    <row r="888" spans="1:23" ht="15.75" customHeight="1" x14ac:dyDescent="0.2">
      <c r="A888" s="7"/>
      <c r="B888" s="7"/>
      <c r="C888" s="7"/>
      <c r="D888" s="7"/>
      <c r="E888" s="7"/>
      <c r="F888" s="7"/>
      <c r="G888" s="7"/>
      <c r="H888" s="7"/>
      <c r="I888" s="7"/>
      <c r="J888" s="7"/>
      <c r="K888" s="7"/>
      <c r="L888" s="7"/>
      <c r="M888" s="7"/>
      <c r="N888" s="7"/>
      <c r="O888" s="7"/>
      <c r="P888" s="7"/>
      <c r="Q888" s="7"/>
      <c r="R888" s="7"/>
      <c r="S888" s="7"/>
      <c r="T888" s="7"/>
      <c r="U888" s="7"/>
      <c r="V888" s="7"/>
      <c r="W888" s="7"/>
    </row>
    <row r="889" spans="1:23" ht="15.75" customHeight="1" x14ac:dyDescent="0.2">
      <c r="A889" s="7"/>
      <c r="B889" s="7"/>
      <c r="C889" s="7"/>
      <c r="D889" s="7"/>
      <c r="E889" s="7"/>
      <c r="F889" s="7"/>
      <c r="G889" s="7"/>
      <c r="H889" s="7"/>
      <c r="I889" s="7"/>
      <c r="J889" s="7"/>
      <c r="K889" s="7"/>
      <c r="L889" s="7"/>
      <c r="M889" s="7"/>
      <c r="N889" s="7"/>
      <c r="O889" s="7"/>
      <c r="P889" s="7"/>
      <c r="Q889" s="7"/>
      <c r="R889" s="7"/>
      <c r="S889" s="7"/>
      <c r="T889" s="7"/>
      <c r="U889" s="7"/>
      <c r="V889" s="7"/>
      <c r="W889" s="7"/>
    </row>
    <row r="890" spans="1:23" ht="15.75" customHeight="1" x14ac:dyDescent="0.2">
      <c r="A890" s="7"/>
      <c r="B890" s="7"/>
      <c r="C890" s="7"/>
      <c r="D890" s="7"/>
      <c r="E890" s="7"/>
      <c r="F890" s="7"/>
      <c r="G890" s="7"/>
      <c r="H890" s="7"/>
      <c r="I890" s="7"/>
      <c r="J890" s="7"/>
      <c r="K890" s="7"/>
      <c r="L890" s="7"/>
      <c r="M890" s="7"/>
      <c r="N890" s="7"/>
      <c r="O890" s="7"/>
      <c r="P890" s="7"/>
      <c r="Q890" s="7"/>
      <c r="R890" s="7"/>
      <c r="S890" s="7"/>
      <c r="T890" s="7"/>
      <c r="U890" s="7"/>
      <c r="V890" s="7"/>
      <c r="W890" s="7"/>
    </row>
    <row r="891" spans="1:23" ht="15.75" customHeight="1" x14ac:dyDescent="0.2">
      <c r="A891" s="7"/>
      <c r="B891" s="7"/>
      <c r="C891" s="7"/>
      <c r="D891" s="7"/>
      <c r="E891" s="7"/>
      <c r="F891" s="7"/>
      <c r="G891" s="7"/>
      <c r="H891" s="7"/>
      <c r="I891" s="7"/>
      <c r="J891" s="7"/>
      <c r="K891" s="7"/>
      <c r="L891" s="7"/>
      <c r="M891" s="7"/>
      <c r="N891" s="7"/>
      <c r="O891" s="7"/>
      <c r="P891" s="7"/>
      <c r="Q891" s="7"/>
      <c r="R891" s="7"/>
      <c r="S891" s="7"/>
      <c r="T891" s="7"/>
      <c r="U891" s="7"/>
      <c r="V891" s="7"/>
      <c r="W891" s="7"/>
    </row>
    <row r="892" spans="1:23" ht="15.75" customHeight="1" x14ac:dyDescent="0.2">
      <c r="A892" s="7"/>
      <c r="B892" s="7"/>
      <c r="C892" s="7"/>
      <c r="D892" s="7"/>
      <c r="E892" s="7"/>
      <c r="F892" s="7"/>
      <c r="G892" s="7"/>
      <c r="H892" s="7"/>
      <c r="I892" s="7"/>
      <c r="J892" s="7"/>
      <c r="K892" s="7"/>
      <c r="L892" s="7"/>
      <c r="M892" s="7"/>
      <c r="N892" s="7"/>
      <c r="O892" s="7"/>
      <c r="P892" s="7"/>
      <c r="Q892" s="7"/>
      <c r="R892" s="7"/>
      <c r="S892" s="7"/>
      <c r="T892" s="7"/>
      <c r="U892" s="7"/>
      <c r="V892" s="7"/>
      <c r="W892" s="7"/>
    </row>
    <row r="893" spans="1:23" ht="15.75" customHeight="1" x14ac:dyDescent="0.2">
      <c r="A893" s="7"/>
      <c r="B893" s="7"/>
      <c r="C893" s="7"/>
      <c r="D893" s="7"/>
      <c r="E893" s="7"/>
      <c r="F893" s="7"/>
      <c r="G893" s="7"/>
      <c r="H893" s="7"/>
      <c r="I893" s="7"/>
      <c r="J893" s="7"/>
      <c r="K893" s="7"/>
      <c r="L893" s="7"/>
      <c r="M893" s="7"/>
      <c r="N893" s="7"/>
      <c r="O893" s="7"/>
      <c r="P893" s="7"/>
      <c r="Q893" s="7"/>
      <c r="R893" s="7"/>
      <c r="S893" s="7"/>
      <c r="T893" s="7"/>
      <c r="U893" s="7"/>
      <c r="V893" s="7"/>
      <c r="W893" s="7"/>
    </row>
    <row r="894" spans="1:23" ht="15.75" customHeight="1" x14ac:dyDescent="0.2">
      <c r="A894" s="7"/>
      <c r="B894" s="7"/>
      <c r="C894" s="7"/>
      <c r="D894" s="7"/>
      <c r="E894" s="7"/>
      <c r="F894" s="7"/>
      <c r="G894" s="7"/>
      <c r="H894" s="7"/>
      <c r="I894" s="7"/>
      <c r="J894" s="7"/>
      <c r="K894" s="7"/>
      <c r="L894" s="7"/>
      <c r="M894" s="7"/>
      <c r="N894" s="7"/>
      <c r="O894" s="7"/>
      <c r="P894" s="7"/>
      <c r="Q894" s="7"/>
      <c r="R894" s="7"/>
      <c r="S894" s="7"/>
      <c r="T894" s="7"/>
      <c r="U894" s="7"/>
      <c r="V894" s="7"/>
      <c r="W894" s="7"/>
    </row>
    <row r="895" spans="1:23" ht="15.75" customHeight="1" x14ac:dyDescent="0.2">
      <c r="A895" s="7"/>
      <c r="B895" s="7"/>
      <c r="C895" s="7"/>
      <c r="D895" s="7"/>
      <c r="E895" s="7"/>
      <c r="F895" s="7"/>
      <c r="G895" s="7"/>
      <c r="H895" s="7"/>
      <c r="I895" s="7"/>
      <c r="J895" s="7"/>
      <c r="K895" s="7"/>
      <c r="L895" s="7"/>
      <c r="M895" s="7"/>
      <c r="N895" s="7"/>
      <c r="O895" s="7"/>
      <c r="P895" s="7"/>
      <c r="Q895" s="7"/>
      <c r="R895" s="7"/>
      <c r="S895" s="7"/>
      <c r="T895" s="7"/>
      <c r="U895" s="7"/>
      <c r="V895" s="7"/>
      <c r="W895" s="7"/>
    </row>
    <row r="896" spans="1:23" ht="15.75" customHeight="1" x14ac:dyDescent="0.2">
      <c r="A896" s="7"/>
      <c r="B896" s="7"/>
      <c r="C896" s="7"/>
      <c r="D896" s="7"/>
      <c r="E896" s="7"/>
      <c r="F896" s="7"/>
      <c r="G896" s="7"/>
      <c r="H896" s="7"/>
      <c r="I896" s="7"/>
      <c r="J896" s="7"/>
      <c r="K896" s="7"/>
      <c r="L896" s="7"/>
      <c r="M896" s="7"/>
      <c r="N896" s="7"/>
      <c r="O896" s="7"/>
      <c r="P896" s="7"/>
      <c r="Q896" s="7"/>
      <c r="R896" s="7"/>
      <c r="S896" s="7"/>
      <c r="T896" s="7"/>
      <c r="U896" s="7"/>
      <c r="V896" s="7"/>
      <c r="W896" s="7"/>
    </row>
    <row r="897" spans="1:23" ht="15.75" customHeight="1" x14ac:dyDescent="0.2">
      <c r="A897" s="7"/>
      <c r="B897" s="7"/>
      <c r="C897" s="7"/>
      <c r="D897" s="7"/>
      <c r="E897" s="7"/>
      <c r="F897" s="7"/>
      <c r="G897" s="7"/>
      <c r="H897" s="7"/>
      <c r="I897" s="7"/>
      <c r="J897" s="7"/>
      <c r="K897" s="7"/>
      <c r="L897" s="7"/>
      <c r="M897" s="7"/>
      <c r="N897" s="7"/>
      <c r="O897" s="7"/>
      <c r="P897" s="7"/>
      <c r="Q897" s="7"/>
      <c r="R897" s="7"/>
      <c r="S897" s="7"/>
      <c r="T897" s="7"/>
      <c r="U897" s="7"/>
      <c r="V897" s="7"/>
      <c r="W897" s="7"/>
    </row>
    <row r="898" spans="1:23" ht="15.75" customHeight="1" x14ac:dyDescent="0.2">
      <c r="A898" s="7"/>
      <c r="B898" s="7"/>
      <c r="C898" s="7"/>
      <c r="D898" s="7"/>
      <c r="E898" s="7"/>
      <c r="F898" s="7"/>
      <c r="G898" s="7"/>
      <c r="H898" s="7"/>
      <c r="I898" s="7"/>
      <c r="J898" s="7"/>
      <c r="K898" s="7"/>
      <c r="L898" s="7"/>
      <c r="M898" s="7"/>
      <c r="N898" s="7"/>
      <c r="O898" s="7"/>
      <c r="P898" s="7"/>
      <c r="Q898" s="7"/>
      <c r="R898" s="7"/>
      <c r="S898" s="7"/>
      <c r="T898" s="7"/>
      <c r="U898" s="7"/>
      <c r="V898" s="7"/>
      <c r="W898" s="7"/>
    </row>
    <row r="899" spans="1:23" ht="15.75" customHeight="1" x14ac:dyDescent="0.2">
      <c r="A899" s="7"/>
      <c r="B899" s="7"/>
      <c r="C899" s="7"/>
      <c r="D899" s="7"/>
      <c r="E899" s="7"/>
      <c r="F899" s="7"/>
      <c r="G899" s="7"/>
      <c r="H899" s="7"/>
      <c r="I899" s="7"/>
      <c r="J899" s="7"/>
      <c r="K899" s="7"/>
      <c r="L899" s="7"/>
      <c r="M899" s="7"/>
      <c r="N899" s="7"/>
      <c r="O899" s="7"/>
      <c r="P899" s="7"/>
      <c r="Q899" s="7"/>
      <c r="R899" s="7"/>
      <c r="S899" s="7"/>
      <c r="T899" s="7"/>
      <c r="U899" s="7"/>
      <c r="V899" s="7"/>
      <c r="W899" s="7"/>
    </row>
    <row r="900" spans="1:23" ht="15.75" customHeight="1" x14ac:dyDescent="0.2">
      <c r="A900" s="7"/>
      <c r="B900" s="7"/>
      <c r="C900" s="7"/>
      <c r="D900" s="7"/>
      <c r="E900" s="7"/>
      <c r="F900" s="7"/>
      <c r="G900" s="7"/>
      <c r="H900" s="7"/>
      <c r="I900" s="7"/>
      <c r="J900" s="7"/>
      <c r="K900" s="7"/>
      <c r="L900" s="7"/>
      <c r="M900" s="7"/>
      <c r="N900" s="7"/>
      <c r="O900" s="7"/>
      <c r="P900" s="7"/>
      <c r="Q900" s="7"/>
      <c r="R900" s="7"/>
      <c r="S900" s="7"/>
      <c r="T900" s="7"/>
      <c r="U900" s="7"/>
      <c r="V900" s="7"/>
      <c r="W900" s="7"/>
    </row>
    <row r="901" spans="1:23" ht="15.75" customHeight="1" x14ac:dyDescent="0.2">
      <c r="A901" s="7"/>
      <c r="B901" s="7"/>
      <c r="C901" s="7"/>
      <c r="D901" s="7"/>
      <c r="E901" s="7"/>
      <c r="F901" s="7"/>
      <c r="G901" s="7"/>
      <c r="H901" s="7"/>
      <c r="I901" s="7"/>
      <c r="J901" s="7"/>
      <c r="K901" s="7"/>
      <c r="L901" s="7"/>
      <c r="M901" s="7"/>
      <c r="N901" s="7"/>
      <c r="O901" s="7"/>
      <c r="P901" s="7"/>
      <c r="Q901" s="7"/>
      <c r="R901" s="7"/>
      <c r="S901" s="7"/>
      <c r="T901" s="7"/>
      <c r="U901" s="7"/>
      <c r="V901" s="7"/>
      <c r="W901" s="7"/>
    </row>
    <row r="902" spans="1:23" ht="15.75" customHeight="1" x14ac:dyDescent="0.2">
      <c r="A902" s="7"/>
      <c r="B902" s="7"/>
      <c r="C902" s="7"/>
      <c r="D902" s="7"/>
      <c r="E902" s="7"/>
      <c r="F902" s="7"/>
      <c r="G902" s="7"/>
      <c r="H902" s="7"/>
      <c r="I902" s="7"/>
      <c r="J902" s="7"/>
      <c r="K902" s="7"/>
      <c r="L902" s="7"/>
      <c r="M902" s="7"/>
      <c r="N902" s="7"/>
      <c r="O902" s="7"/>
      <c r="P902" s="7"/>
      <c r="Q902" s="7"/>
      <c r="R902" s="7"/>
      <c r="S902" s="7"/>
      <c r="T902" s="7"/>
      <c r="U902" s="7"/>
      <c r="V902" s="7"/>
      <c r="W902" s="7"/>
    </row>
    <row r="903" spans="1:23" ht="15.75" customHeight="1" x14ac:dyDescent="0.2">
      <c r="A903" s="7"/>
      <c r="B903" s="7"/>
      <c r="C903" s="7"/>
      <c r="D903" s="7"/>
      <c r="E903" s="7"/>
      <c r="F903" s="7"/>
      <c r="G903" s="7"/>
      <c r="H903" s="7"/>
      <c r="I903" s="7"/>
      <c r="J903" s="7"/>
      <c r="K903" s="7"/>
      <c r="L903" s="7"/>
      <c r="M903" s="7"/>
      <c r="N903" s="7"/>
      <c r="O903" s="7"/>
      <c r="P903" s="7"/>
      <c r="Q903" s="7"/>
      <c r="R903" s="7"/>
      <c r="S903" s="7"/>
      <c r="T903" s="7"/>
      <c r="U903" s="7"/>
      <c r="V903" s="7"/>
      <c r="W903" s="7"/>
    </row>
    <row r="904" spans="1:23" ht="15.75" customHeight="1" x14ac:dyDescent="0.2">
      <c r="A904" s="7"/>
      <c r="B904" s="7"/>
      <c r="C904" s="7"/>
      <c r="D904" s="7"/>
      <c r="E904" s="7"/>
      <c r="F904" s="7"/>
      <c r="G904" s="7"/>
      <c r="H904" s="7"/>
      <c r="I904" s="7"/>
      <c r="J904" s="7"/>
      <c r="K904" s="7"/>
      <c r="L904" s="7"/>
      <c r="M904" s="7"/>
      <c r="N904" s="7"/>
      <c r="O904" s="7"/>
      <c r="P904" s="7"/>
      <c r="Q904" s="7"/>
      <c r="R904" s="7"/>
      <c r="S904" s="7"/>
      <c r="T904" s="7"/>
      <c r="U904" s="7"/>
      <c r="V904" s="7"/>
      <c r="W904" s="7"/>
    </row>
    <row r="905" spans="1:23" ht="15.75" customHeight="1" x14ac:dyDescent="0.2">
      <c r="A905" s="7"/>
      <c r="B905" s="7"/>
      <c r="C905" s="7"/>
      <c r="D905" s="7"/>
      <c r="E905" s="7"/>
      <c r="F905" s="7"/>
      <c r="G905" s="7"/>
      <c r="H905" s="7"/>
      <c r="I905" s="7"/>
      <c r="J905" s="7"/>
      <c r="K905" s="7"/>
      <c r="L905" s="7"/>
      <c r="M905" s="7"/>
      <c r="N905" s="7"/>
      <c r="O905" s="7"/>
      <c r="P905" s="7"/>
      <c r="Q905" s="7"/>
      <c r="R905" s="7"/>
      <c r="S905" s="7"/>
      <c r="T905" s="7"/>
      <c r="U905" s="7"/>
      <c r="V905" s="7"/>
      <c r="W905" s="7"/>
    </row>
    <row r="906" spans="1:23" ht="15.75" customHeight="1" x14ac:dyDescent="0.2">
      <c r="A906" s="7"/>
      <c r="B906" s="7"/>
      <c r="C906" s="7"/>
      <c r="D906" s="7"/>
      <c r="E906" s="7"/>
      <c r="F906" s="7"/>
      <c r="G906" s="7"/>
      <c r="H906" s="7"/>
      <c r="I906" s="7"/>
      <c r="J906" s="7"/>
      <c r="K906" s="7"/>
      <c r="L906" s="7"/>
      <c r="M906" s="7"/>
      <c r="N906" s="7"/>
      <c r="O906" s="7"/>
      <c r="P906" s="7"/>
      <c r="Q906" s="7"/>
      <c r="R906" s="7"/>
      <c r="S906" s="7"/>
      <c r="T906" s="7"/>
      <c r="U906" s="7"/>
      <c r="V906" s="7"/>
      <c r="W906" s="7"/>
    </row>
    <row r="907" spans="1:23" ht="15.75" customHeight="1" x14ac:dyDescent="0.2">
      <c r="A907" s="7"/>
      <c r="B907" s="7"/>
      <c r="C907" s="7"/>
      <c r="D907" s="7"/>
      <c r="E907" s="7"/>
      <c r="F907" s="7"/>
      <c r="G907" s="7"/>
      <c r="H907" s="7"/>
      <c r="I907" s="7"/>
      <c r="J907" s="7"/>
      <c r="K907" s="7"/>
      <c r="L907" s="7"/>
      <c r="M907" s="7"/>
      <c r="N907" s="7"/>
      <c r="O907" s="7"/>
      <c r="P907" s="7"/>
      <c r="Q907" s="7"/>
      <c r="R907" s="7"/>
      <c r="S907" s="7"/>
      <c r="T907" s="7"/>
      <c r="U907" s="7"/>
      <c r="V907" s="7"/>
      <c r="W907" s="7"/>
    </row>
    <row r="908" spans="1:23" ht="15.75" customHeight="1" x14ac:dyDescent="0.2">
      <c r="A908" s="7"/>
      <c r="B908" s="7"/>
      <c r="C908" s="7"/>
      <c r="D908" s="7"/>
      <c r="E908" s="7"/>
      <c r="F908" s="7"/>
      <c r="G908" s="7"/>
      <c r="H908" s="7"/>
      <c r="I908" s="7"/>
      <c r="J908" s="7"/>
      <c r="K908" s="7"/>
      <c r="L908" s="7"/>
      <c r="M908" s="7"/>
      <c r="N908" s="7"/>
      <c r="O908" s="7"/>
      <c r="P908" s="7"/>
      <c r="Q908" s="7"/>
      <c r="R908" s="7"/>
      <c r="S908" s="7"/>
      <c r="T908" s="7"/>
      <c r="U908" s="7"/>
      <c r="V908" s="7"/>
      <c r="W908" s="7"/>
    </row>
    <row r="909" spans="1:23" ht="15.75" customHeight="1" x14ac:dyDescent="0.2">
      <c r="A909" s="7"/>
      <c r="B909" s="7"/>
      <c r="C909" s="7"/>
      <c r="D909" s="7"/>
      <c r="E909" s="7"/>
      <c r="F909" s="7"/>
      <c r="G909" s="7"/>
      <c r="H909" s="7"/>
      <c r="I909" s="7"/>
      <c r="J909" s="7"/>
      <c r="K909" s="7"/>
      <c r="L909" s="7"/>
      <c r="M909" s="7"/>
      <c r="N909" s="7"/>
      <c r="O909" s="7"/>
      <c r="P909" s="7"/>
      <c r="Q909" s="7"/>
      <c r="R909" s="7"/>
      <c r="S909" s="7"/>
      <c r="T909" s="7"/>
      <c r="U909" s="7"/>
      <c r="V909" s="7"/>
      <c r="W909" s="7"/>
    </row>
    <row r="910" spans="1:23" ht="15.75" customHeight="1" x14ac:dyDescent="0.2">
      <c r="A910" s="7"/>
      <c r="B910" s="7"/>
      <c r="C910" s="7"/>
      <c r="D910" s="7"/>
      <c r="E910" s="7"/>
      <c r="F910" s="7"/>
      <c r="G910" s="7"/>
      <c r="H910" s="7"/>
      <c r="I910" s="7"/>
      <c r="J910" s="7"/>
      <c r="K910" s="7"/>
      <c r="L910" s="7"/>
      <c r="M910" s="7"/>
      <c r="N910" s="7"/>
      <c r="O910" s="7"/>
      <c r="P910" s="7"/>
      <c r="Q910" s="7"/>
      <c r="R910" s="7"/>
      <c r="S910" s="7"/>
      <c r="T910" s="7"/>
      <c r="U910" s="7"/>
      <c r="V910" s="7"/>
      <c r="W910" s="7"/>
    </row>
    <row r="911" spans="1:23" ht="15.75" customHeight="1" x14ac:dyDescent="0.2">
      <c r="A911" s="7"/>
      <c r="B911" s="7"/>
      <c r="C911" s="7"/>
      <c r="D911" s="7"/>
      <c r="E911" s="7"/>
      <c r="F911" s="7"/>
      <c r="G911" s="7"/>
      <c r="H911" s="7"/>
      <c r="I911" s="7"/>
      <c r="J911" s="7"/>
      <c r="K911" s="7"/>
      <c r="L911" s="7"/>
      <c r="M911" s="7"/>
      <c r="N911" s="7"/>
      <c r="O911" s="7"/>
      <c r="P911" s="7"/>
      <c r="Q911" s="7"/>
      <c r="R911" s="7"/>
      <c r="S911" s="7"/>
      <c r="T911" s="7"/>
      <c r="U911" s="7"/>
      <c r="V911" s="7"/>
      <c r="W911" s="7"/>
    </row>
    <row r="912" spans="1:23" ht="15.75" customHeight="1" x14ac:dyDescent="0.2">
      <c r="A912" s="7"/>
      <c r="B912" s="7"/>
      <c r="C912" s="7"/>
      <c r="D912" s="7"/>
      <c r="E912" s="7"/>
      <c r="F912" s="7"/>
      <c r="G912" s="7"/>
      <c r="H912" s="7"/>
      <c r="I912" s="7"/>
      <c r="J912" s="7"/>
      <c r="K912" s="7"/>
      <c r="L912" s="7"/>
      <c r="M912" s="7"/>
      <c r="N912" s="7"/>
      <c r="O912" s="7"/>
      <c r="P912" s="7"/>
      <c r="Q912" s="7"/>
      <c r="R912" s="7"/>
      <c r="S912" s="7"/>
      <c r="T912" s="7"/>
      <c r="U912" s="7"/>
      <c r="V912" s="7"/>
      <c r="W912" s="7"/>
    </row>
    <row r="913" spans="1:23" ht="15.75" customHeight="1" x14ac:dyDescent="0.2">
      <c r="A913" s="7"/>
      <c r="B913" s="7"/>
      <c r="C913" s="7"/>
      <c r="D913" s="7"/>
      <c r="E913" s="7"/>
      <c r="F913" s="7"/>
      <c r="G913" s="7"/>
      <c r="H913" s="7"/>
      <c r="I913" s="7"/>
      <c r="J913" s="7"/>
      <c r="K913" s="7"/>
      <c r="L913" s="7"/>
      <c r="M913" s="7"/>
      <c r="N913" s="7"/>
      <c r="O913" s="7"/>
      <c r="P913" s="7"/>
      <c r="Q913" s="7"/>
      <c r="R913" s="7"/>
      <c r="S913" s="7"/>
      <c r="T913" s="7"/>
      <c r="U913" s="7"/>
      <c r="V913" s="7"/>
      <c r="W913" s="7"/>
    </row>
    <row r="914" spans="1:23" ht="15.75" customHeight="1" x14ac:dyDescent="0.2">
      <c r="A914" s="7"/>
      <c r="B914" s="7"/>
      <c r="C914" s="7"/>
      <c r="D914" s="7"/>
      <c r="E914" s="7"/>
      <c r="F914" s="7"/>
      <c r="G914" s="7"/>
      <c r="H914" s="7"/>
      <c r="I914" s="7"/>
      <c r="J914" s="7"/>
      <c r="K914" s="7"/>
      <c r="L914" s="7"/>
      <c r="M914" s="7"/>
      <c r="N914" s="7"/>
      <c r="O914" s="7"/>
      <c r="P914" s="7"/>
      <c r="Q914" s="7"/>
      <c r="R914" s="7"/>
      <c r="S914" s="7"/>
      <c r="T914" s="7"/>
      <c r="U914" s="7"/>
      <c r="V914" s="7"/>
      <c r="W914" s="7"/>
    </row>
    <row r="915" spans="1:23" ht="15.75" customHeight="1" x14ac:dyDescent="0.2">
      <c r="A915" s="7"/>
      <c r="B915" s="7"/>
      <c r="C915" s="7"/>
      <c r="D915" s="7"/>
      <c r="E915" s="7"/>
      <c r="F915" s="7"/>
      <c r="G915" s="7"/>
      <c r="H915" s="7"/>
      <c r="I915" s="7"/>
      <c r="J915" s="7"/>
      <c r="K915" s="7"/>
      <c r="L915" s="7"/>
      <c r="M915" s="7"/>
      <c r="N915" s="7"/>
      <c r="O915" s="7"/>
      <c r="P915" s="7"/>
      <c r="Q915" s="7"/>
      <c r="R915" s="7"/>
      <c r="S915" s="7"/>
      <c r="T915" s="7"/>
      <c r="U915" s="7"/>
      <c r="V915" s="7"/>
      <c r="W915" s="7"/>
    </row>
    <row r="916" spans="1:23" ht="15.75" customHeight="1" x14ac:dyDescent="0.2">
      <c r="A916" s="7"/>
      <c r="B916" s="7"/>
      <c r="C916" s="7"/>
      <c r="D916" s="7"/>
      <c r="E916" s="7"/>
      <c r="F916" s="7"/>
      <c r="G916" s="7"/>
      <c r="H916" s="7"/>
      <c r="I916" s="7"/>
      <c r="J916" s="7"/>
      <c r="K916" s="7"/>
      <c r="L916" s="7"/>
      <c r="M916" s="7"/>
      <c r="N916" s="7"/>
      <c r="O916" s="7"/>
      <c r="P916" s="7"/>
      <c r="Q916" s="7"/>
      <c r="R916" s="7"/>
      <c r="S916" s="7"/>
      <c r="T916" s="7"/>
      <c r="U916" s="7"/>
      <c r="V916" s="7"/>
      <c r="W916" s="7"/>
    </row>
    <row r="917" spans="1:23" ht="15.75" customHeight="1" x14ac:dyDescent="0.2">
      <c r="A917" s="7"/>
      <c r="B917" s="7"/>
      <c r="C917" s="7"/>
      <c r="D917" s="7"/>
      <c r="E917" s="7"/>
      <c r="F917" s="7"/>
      <c r="G917" s="7"/>
      <c r="H917" s="7"/>
      <c r="I917" s="7"/>
      <c r="J917" s="7"/>
      <c r="K917" s="7"/>
      <c r="L917" s="7"/>
      <c r="M917" s="7"/>
      <c r="N917" s="7"/>
      <c r="O917" s="7"/>
      <c r="P917" s="7"/>
      <c r="Q917" s="7"/>
      <c r="R917" s="7"/>
      <c r="S917" s="7"/>
      <c r="T917" s="7"/>
      <c r="U917" s="7"/>
      <c r="V917" s="7"/>
      <c r="W917" s="7"/>
    </row>
    <row r="918" spans="1:23" ht="15.75" customHeight="1" x14ac:dyDescent="0.2">
      <c r="A918" s="7"/>
      <c r="B918" s="7"/>
      <c r="C918" s="7"/>
      <c r="D918" s="7"/>
      <c r="E918" s="7"/>
      <c r="F918" s="7"/>
      <c r="G918" s="7"/>
      <c r="H918" s="7"/>
      <c r="I918" s="7"/>
      <c r="J918" s="7"/>
      <c r="K918" s="7"/>
      <c r="L918" s="7"/>
      <c r="M918" s="7"/>
      <c r="N918" s="7"/>
      <c r="O918" s="7"/>
      <c r="P918" s="7"/>
      <c r="Q918" s="7"/>
      <c r="R918" s="7"/>
      <c r="S918" s="7"/>
      <c r="T918" s="7"/>
      <c r="U918" s="7"/>
      <c r="V918" s="7"/>
      <c r="W918" s="7"/>
    </row>
    <row r="919" spans="1:23" ht="15.75" customHeight="1" x14ac:dyDescent="0.2">
      <c r="A919" s="7"/>
      <c r="B919" s="7"/>
      <c r="C919" s="7"/>
      <c r="D919" s="7"/>
      <c r="E919" s="7"/>
      <c r="F919" s="7"/>
      <c r="G919" s="7"/>
      <c r="H919" s="7"/>
      <c r="I919" s="7"/>
      <c r="J919" s="7"/>
      <c r="K919" s="7"/>
      <c r="L919" s="7"/>
      <c r="M919" s="7"/>
      <c r="N919" s="7"/>
      <c r="O919" s="7"/>
      <c r="P919" s="7"/>
      <c r="Q919" s="7"/>
      <c r="R919" s="7"/>
      <c r="S919" s="7"/>
      <c r="T919" s="7"/>
      <c r="U919" s="7"/>
      <c r="V919" s="7"/>
      <c r="W919" s="7"/>
    </row>
    <row r="920" spans="1:23" ht="15.75" customHeight="1" x14ac:dyDescent="0.2">
      <c r="A920" s="7"/>
      <c r="B920" s="7"/>
      <c r="C920" s="7"/>
      <c r="D920" s="7"/>
      <c r="E920" s="7"/>
      <c r="F920" s="7"/>
      <c r="G920" s="7"/>
      <c r="H920" s="7"/>
      <c r="I920" s="7"/>
      <c r="J920" s="7"/>
      <c r="K920" s="7"/>
      <c r="L920" s="7"/>
      <c r="M920" s="7"/>
      <c r="N920" s="7"/>
      <c r="O920" s="7"/>
      <c r="P920" s="7"/>
      <c r="Q920" s="7"/>
      <c r="R920" s="7"/>
      <c r="S920" s="7"/>
      <c r="T920" s="7"/>
      <c r="U920" s="7"/>
      <c r="V920" s="7"/>
      <c r="W920" s="7"/>
    </row>
    <row r="921" spans="1:23" ht="15.75" customHeight="1" x14ac:dyDescent="0.2">
      <c r="A921" s="7"/>
      <c r="B921" s="7"/>
      <c r="C921" s="7"/>
      <c r="D921" s="7"/>
      <c r="E921" s="7"/>
      <c r="F921" s="7"/>
      <c r="G921" s="7"/>
      <c r="H921" s="7"/>
      <c r="I921" s="7"/>
      <c r="J921" s="7"/>
      <c r="K921" s="7"/>
      <c r="L921" s="7"/>
      <c r="M921" s="7"/>
      <c r="N921" s="7"/>
      <c r="O921" s="7"/>
      <c r="P921" s="7"/>
      <c r="Q921" s="7"/>
      <c r="R921" s="7"/>
      <c r="S921" s="7"/>
      <c r="T921" s="7"/>
      <c r="U921" s="7"/>
      <c r="V921" s="7"/>
      <c r="W921" s="7"/>
    </row>
    <row r="922" spans="1:23" ht="15.75" customHeight="1" x14ac:dyDescent="0.2">
      <c r="A922" s="7"/>
      <c r="B922" s="7"/>
      <c r="C922" s="7"/>
      <c r="D922" s="7"/>
      <c r="E922" s="7"/>
      <c r="F922" s="7"/>
      <c r="G922" s="7"/>
      <c r="H922" s="7"/>
      <c r="I922" s="7"/>
      <c r="J922" s="7"/>
      <c r="K922" s="7"/>
      <c r="L922" s="7"/>
      <c r="M922" s="7"/>
      <c r="N922" s="7"/>
      <c r="O922" s="7"/>
      <c r="P922" s="7"/>
      <c r="Q922" s="7"/>
      <c r="R922" s="7"/>
      <c r="S922" s="7"/>
      <c r="T922" s="7"/>
      <c r="U922" s="7"/>
      <c r="V922" s="7"/>
      <c r="W922" s="7"/>
    </row>
    <row r="923" spans="1:23" ht="15.75" customHeight="1" x14ac:dyDescent="0.2">
      <c r="A923" s="7"/>
      <c r="B923" s="7"/>
      <c r="C923" s="7"/>
      <c r="D923" s="7"/>
      <c r="E923" s="7"/>
      <c r="F923" s="7"/>
      <c r="G923" s="7"/>
      <c r="H923" s="7"/>
      <c r="I923" s="7"/>
      <c r="J923" s="7"/>
      <c r="K923" s="7"/>
      <c r="L923" s="7"/>
      <c r="M923" s="7"/>
      <c r="N923" s="7"/>
      <c r="O923" s="7"/>
      <c r="P923" s="7"/>
      <c r="Q923" s="7"/>
      <c r="R923" s="7"/>
      <c r="S923" s="7"/>
      <c r="T923" s="7"/>
      <c r="U923" s="7"/>
      <c r="V923" s="7"/>
      <c r="W923" s="7"/>
    </row>
    <row r="924" spans="1:23" ht="15.75" customHeight="1" x14ac:dyDescent="0.2">
      <c r="A924" s="7"/>
      <c r="B924" s="7"/>
      <c r="C924" s="7"/>
      <c r="D924" s="7"/>
      <c r="E924" s="7"/>
      <c r="F924" s="7"/>
      <c r="G924" s="7"/>
      <c r="H924" s="7"/>
      <c r="I924" s="7"/>
      <c r="J924" s="7"/>
      <c r="K924" s="7"/>
      <c r="L924" s="7"/>
      <c r="M924" s="7"/>
      <c r="N924" s="7"/>
      <c r="O924" s="7"/>
      <c r="P924" s="7"/>
      <c r="Q924" s="7"/>
      <c r="R924" s="7"/>
      <c r="S924" s="7"/>
      <c r="T924" s="7"/>
      <c r="U924" s="7"/>
      <c r="V924" s="7"/>
      <c r="W924" s="7"/>
    </row>
    <row r="925" spans="1:23" ht="15.75" customHeight="1" x14ac:dyDescent="0.2">
      <c r="A925" s="7"/>
      <c r="B925" s="7"/>
      <c r="C925" s="7"/>
      <c r="D925" s="7"/>
      <c r="E925" s="7"/>
      <c r="F925" s="7"/>
      <c r="G925" s="7"/>
      <c r="H925" s="7"/>
      <c r="I925" s="7"/>
      <c r="J925" s="7"/>
      <c r="K925" s="7"/>
      <c r="L925" s="7"/>
      <c r="M925" s="7"/>
      <c r="N925" s="7"/>
      <c r="O925" s="7"/>
      <c r="P925" s="7"/>
      <c r="Q925" s="7"/>
      <c r="R925" s="7"/>
      <c r="S925" s="7"/>
      <c r="T925" s="7"/>
      <c r="U925" s="7"/>
      <c r="V925" s="7"/>
      <c r="W925" s="7"/>
    </row>
    <row r="926" spans="1:23" ht="15.75" customHeight="1" x14ac:dyDescent="0.2">
      <c r="A926" s="7"/>
      <c r="B926" s="7"/>
      <c r="C926" s="7"/>
      <c r="D926" s="7"/>
      <c r="E926" s="7"/>
      <c r="F926" s="7"/>
      <c r="G926" s="7"/>
      <c r="H926" s="7"/>
      <c r="I926" s="7"/>
      <c r="J926" s="7"/>
      <c r="K926" s="7"/>
      <c r="L926" s="7"/>
      <c r="M926" s="7"/>
      <c r="N926" s="7"/>
      <c r="O926" s="7"/>
      <c r="P926" s="7"/>
      <c r="Q926" s="7"/>
      <c r="R926" s="7"/>
      <c r="S926" s="7"/>
      <c r="T926" s="7"/>
      <c r="U926" s="7"/>
      <c r="V926" s="7"/>
      <c r="W926" s="7"/>
    </row>
    <row r="927" spans="1:23" ht="15.75" customHeight="1" x14ac:dyDescent="0.2">
      <c r="A927" s="7"/>
      <c r="B927" s="7"/>
      <c r="C927" s="7"/>
      <c r="D927" s="7"/>
      <c r="E927" s="7"/>
      <c r="F927" s="7"/>
      <c r="G927" s="7"/>
      <c r="H927" s="7"/>
      <c r="I927" s="7"/>
      <c r="J927" s="7"/>
      <c r="K927" s="7"/>
      <c r="L927" s="7"/>
      <c r="M927" s="7"/>
      <c r="N927" s="7"/>
      <c r="O927" s="7"/>
      <c r="P927" s="7"/>
      <c r="Q927" s="7"/>
      <c r="R927" s="7"/>
      <c r="S927" s="7"/>
      <c r="T927" s="7"/>
      <c r="U927" s="7"/>
      <c r="V927" s="7"/>
      <c r="W927" s="7"/>
    </row>
    <row r="928" spans="1:23" ht="15.75" customHeight="1" x14ac:dyDescent="0.2">
      <c r="A928" s="7"/>
      <c r="B928" s="7"/>
      <c r="C928" s="7"/>
      <c r="D928" s="7"/>
      <c r="E928" s="7"/>
      <c r="F928" s="7"/>
      <c r="G928" s="7"/>
      <c r="H928" s="7"/>
      <c r="I928" s="7"/>
      <c r="J928" s="7"/>
      <c r="K928" s="7"/>
      <c r="L928" s="7"/>
      <c r="M928" s="7"/>
      <c r="N928" s="7"/>
      <c r="O928" s="7"/>
      <c r="P928" s="7"/>
      <c r="Q928" s="7"/>
      <c r="R928" s="7"/>
      <c r="S928" s="7"/>
      <c r="T928" s="7"/>
      <c r="U928" s="7"/>
      <c r="V928" s="7"/>
      <c r="W928" s="7"/>
    </row>
    <row r="929" spans="1:23" ht="15.75" customHeight="1" x14ac:dyDescent="0.2">
      <c r="A929" s="7"/>
      <c r="B929" s="7"/>
      <c r="C929" s="7"/>
      <c r="D929" s="7"/>
      <c r="E929" s="7"/>
      <c r="F929" s="7"/>
      <c r="G929" s="7"/>
      <c r="H929" s="7"/>
      <c r="I929" s="7"/>
      <c r="J929" s="7"/>
      <c r="K929" s="7"/>
      <c r="L929" s="7"/>
      <c r="M929" s="7"/>
      <c r="N929" s="7"/>
      <c r="O929" s="7"/>
      <c r="P929" s="7"/>
      <c r="Q929" s="7"/>
      <c r="R929" s="7"/>
      <c r="S929" s="7"/>
      <c r="T929" s="7"/>
      <c r="U929" s="7"/>
      <c r="V929" s="7"/>
      <c r="W929" s="7"/>
    </row>
    <row r="930" spans="1:23" ht="15.75" customHeight="1" x14ac:dyDescent="0.2">
      <c r="A930" s="7"/>
      <c r="B930" s="7"/>
      <c r="C930" s="7"/>
      <c r="D930" s="7"/>
      <c r="E930" s="7"/>
      <c r="F930" s="7"/>
      <c r="G930" s="7"/>
      <c r="H930" s="7"/>
      <c r="I930" s="7"/>
      <c r="J930" s="7"/>
      <c r="K930" s="7"/>
      <c r="L930" s="7"/>
      <c r="M930" s="7"/>
      <c r="N930" s="7"/>
      <c r="O930" s="7"/>
      <c r="P930" s="7"/>
      <c r="Q930" s="7"/>
      <c r="R930" s="7"/>
      <c r="S930" s="7"/>
      <c r="T930" s="7"/>
      <c r="U930" s="7"/>
      <c r="V930" s="7"/>
      <c r="W930" s="7"/>
    </row>
    <row r="931" spans="1:23" ht="15.75" customHeight="1" x14ac:dyDescent="0.2">
      <c r="A931" s="7"/>
      <c r="B931" s="7"/>
      <c r="C931" s="7"/>
      <c r="D931" s="7"/>
      <c r="E931" s="7"/>
      <c r="F931" s="7"/>
      <c r="G931" s="7"/>
      <c r="H931" s="7"/>
      <c r="I931" s="7"/>
      <c r="J931" s="7"/>
      <c r="K931" s="7"/>
      <c r="L931" s="7"/>
      <c r="M931" s="7"/>
      <c r="N931" s="7"/>
      <c r="O931" s="7"/>
      <c r="P931" s="7"/>
      <c r="Q931" s="7"/>
      <c r="R931" s="7"/>
      <c r="S931" s="7"/>
      <c r="T931" s="7"/>
      <c r="U931" s="7"/>
      <c r="V931" s="7"/>
      <c r="W931" s="7"/>
    </row>
    <row r="932" spans="1:23" ht="15.75" customHeight="1" x14ac:dyDescent="0.2">
      <c r="A932" s="7"/>
      <c r="B932" s="7"/>
      <c r="C932" s="7"/>
      <c r="D932" s="7"/>
      <c r="E932" s="7"/>
      <c r="F932" s="7"/>
      <c r="G932" s="7"/>
      <c r="H932" s="7"/>
      <c r="I932" s="7"/>
      <c r="J932" s="7"/>
      <c r="K932" s="7"/>
      <c r="L932" s="7"/>
      <c r="M932" s="7"/>
      <c r="N932" s="7"/>
      <c r="O932" s="7"/>
      <c r="P932" s="7"/>
      <c r="Q932" s="7"/>
      <c r="R932" s="7"/>
      <c r="S932" s="7"/>
      <c r="T932" s="7"/>
      <c r="U932" s="7"/>
      <c r="V932" s="7"/>
      <c r="W932" s="7"/>
    </row>
    <row r="933" spans="1:23" ht="15.75" customHeight="1" x14ac:dyDescent="0.2">
      <c r="A933" s="7"/>
      <c r="B933" s="7"/>
      <c r="C933" s="7"/>
      <c r="D933" s="7"/>
      <c r="E933" s="7"/>
      <c r="F933" s="7"/>
      <c r="G933" s="7"/>
      <c r="H933" s="7"/>
      <c r="I933" s="7"/>
      <c r="J933" s="7"/>
      <c r="K933" s="7"/>
      <c r="L933" s="7"/>
      <c r="M933" s="7"/>
      <c r="N933" s="7"/>
      <c r="O933" s="7"/>
      <c r="P933" s="7"/>
      <c r="Q933" s="7"/>
      <c r="R933" s="7"/>
      <c r="S933" s="7"/>
      <c r="T933" s="7"/>
      <c r="U933" s="7"/>
      <c r="V933" s="7"/>
      <c r="W933" s="7"/>
    </row>
    <row r="934" spans="1:23" ht="15.75" customHeight="1" x14ac:dyDescent="0.2">
      <c r="A934" s="7"/>
      <c r="B934" s="7"/>
      <c r="C934" s="7"/>
      <c r="D934" s="7"/>
      <c r="E934" s="7"/>
      <c r="F934" s="7"/>
      <c r="G934" s="7"/>
      <c r="H934" s="7"/>
      <c r="I934" s="7"/>
      <c r="J934" s="7"/>
      <c r="K934" s="7"/>
      <c r="L934" s="7"/>
      <c r="M934" s="7"/>
      <c r="N934" s="7"/>
      <c r="O934" s="7"/>
      <c r="P934" s="7"/>
      <c r="Q934" s="7"/>
      <c r="R934" s="7"/>
      <c r="S934" s="7"/>
      <c r="T934" s="7"/>
      <c r="U934" s="7"/>
      <c r="V934" s="7"/>
      <c r="W934" s="7"/>
    </row>
    <row r="935" spans="1:23" ht="15.75" customHeight="1" x14ac:dyDescent="0.2">
      <c r="A935" s="7"/>
      <c r="B935" s="7"/>
      <c r="C935" s="7"/>
      <c r="D935" s="7"/>
      <c r="E935" s="7"/>
      <c r="F935" s="7"/>
      <c r="G935" s="7"/>
      <c r="H935" s="7"/>
      <c r="I935" s="7"/>
      <c r="J935" s="7"/>
      <c r="K935" s="7"/>
      <c r="L935" s="7"/>
      <c r="M935" s="7"/>
      <c r="N935" s="7"/>
      <c r="O935" s="7"/>
      <c r="P935" s="7"/>
      <c r="Q935" s="7"/>
      <c r="R935" s="7"/>
      <c r="S935" s="7"/>
      <c r="T935" s="7"/>
      <c r="U935" s="7"/>
      <c r="V935" s="7"/>
      <c r="W935" s="7"/>
    </row>
    <row r="936" spans="1:23" ht="15.75" customHeight="1" x14ac:dyDescent="0.2">
      <c r="A936" s="7"/>
      <c r="B936" s="7"/>
      <c r="C936" s="7"/>
      <c r="D936" s="7"/>
      <c r="E936" s="7"/>
      <c r="F936" s="7"/>
      <c r="G936" s="7"/>
      <c r="H936" s="7"/>
      <c r="I936" s="7"/>
      <c r="J936" s="7"/>
      <c r="K936" s="7"/>
      <c r="L936" s="7"/>
      <c r="M936" s="7"/>
      <c r="N936" s="7"/>
      <c r="O936" s="7"/>
      <c r="P936" s="7"/>
      <c r="Q936" s="7"/>
      <c r="R936" s="7"/>
      <c r="S936" s="7"/>
      <c r="T936" s="7"/>
      <c r="U936" s="7"/>
      <c r="V936" s="7"/>
      <c r="W936" s="7"/>
    </row>
    <row r="937" spans="1:23" ht="15.75" customHeight="1" x14ac:dyDescent="0.2">
      <c r="A937" s="7"/>
      <c r="B937" s="7"/>
      <c r="C937" s="7"/>
      <c r="D937" s="7"/>
      <c r="E937" s="7"/>
      <c r="F937" s="7"/>
      <c r="G937" s="7"/>
      <c r="H937" s="7"/>
      <c r="I937" s="7"/>
      <c r="J937" s="7"/>
      <c r="K937" s="7"/>
      <c r="L937" s="7"/>
      <c r="M937" s="7"/>
      <c r="N937" s="7"/>
      <c r="O937" s="7"/>
      <c r="P937" s="7"/>
      <c r="Q937" s="7"/>
      <c r="R937" s="7"/>
      <c r="S937" s="7"/>
      <c r="T937" s="7"/>
      <c r="U937" s="7"/>
      <c r="V937" s="7"/>
      <c r="W937" s="7"/>
    </row>
    <row r="938" spans="1:23" ht="15.75" customHeight="1" x14ac:dyDescent="0.2">
      <c r="A938" s="7"/>
      <c r="B938" s="7"/>
      <c r="C938" s="7"/>
      <c r="D938" s="7"/>
      <c r="E938" s="7"/>
      <c r="F938" s="7"/>
      <c r="G938" s="7"/>
      <c r="H938" s="7"/>
      <c r="I938" s="7"/>
      <c r="J938" s="7"/>
      <c r="K938" s="7"/>
      <c r="L938" s="7"/>
      <c r="M938" s="7"/>
      <c r="N938" s="7"/>
      <c r="O938" s="7"/>
      <c r="P938" s="7"/>
      <c r="Q938" s="7"/>
      <c r="R938" s="7"/>
      <c r="S938" s="7"/>
      <c r="T938" s="7"/>
      <c r="U938" s="7"/>
      <c r="V938" s="7"/>
      <c r="W938" s="7"/>
    </row>
    <row r="939" spans="1:23" ht="15.75" customHeight="1" x14ac:dyDescent="0.2">
      <c r="A939" s="7"/>
      <c r="B939" s="7"/>
      <c r="C939" s="7"/>
      <c r="D939" s="7"/>
      <c r="E939" s="7"/>
      <c r="F939" s="7"/>
      <c r="G939" s="7"/>
      <c r="H939" s="7"/>
      <c r="I939" s="7"/>
      <c r="J939" s="7"/>
      <c r="K939" s="7"/>
      <c r="L939" s="7"/>
      <c r="M939" s="7"/>
      <c r="N939" s="7"/>
      <c r="O939" s="7"/>
      <c r="P939" s="7"/>
      <c r="Q939" s="7"/>
      <c r="R939" s="7"/>
      <c r="S939" s="7"/>
      <c r="T939" s="7"/>
      <c r="U939" s="7"/>
      <c r="V939" s="7"/>
      <c r="W939" s="7"/>
    </row>
    <row r="940" spans="1:23" ht="15.75" customHeight="1" x14ac:dyDescent="0.2">
      <c r="A940" s="7"/>
      <c r="B940" s="7"/>
      <c r="C940" s="7"/>
      <c r="D940" s="7"/>
      <c r="E940" s="7"/>
      <c r="F940" s="7"/>
      <c r="G940" s="7"/>
      <c r="H940" s="7"/>
      <c r="I940" s="7"/>
      <c r="J940" s="7"/>
      <c r="K940" s="7"/>
      <c r="L940" s="7"/>
      <c r="M940" s="7"/>
      <c r="N940" s="7"/>
      <c r="O940" s="7"/>
      <c r="P940" s="7"/>
      <c r="Q940" s="7"/>
      <c r="R940" s="7"/>
      <c r="S940" s="7"/>
      <c r="T940" s="7"/>
      <c r="U940" s="7"/>
      <c r="V940" s="7"/>
      <c r="W940" s="7"/>
    </row>
    <row r="941" spans="1:23" ht="15.75" customHeight="1" x14ac:dyDescent="0.2">
      <c r="A941" s="7"/>
      <c r="B941" s="7"/>
      <c r="C941" s="7"/>
      <c r="D941" s="7"/>
      <c r="E941" s="7"/>
      <c r="F941" s="7"/>
      <c r="G941" s="7"/>
      <c r="H941" s="7"/>
      <c r="I941" s="7"/>
      <c r="J941" s="7"/>
      <c r="K941" s="7"/>
      <c r="L941" s="7"/>
      <c r="M941" s="7"/>
      <c r="N941" s="7"/>
      <c r="O941" s="7"/>
      <c r="P941" s="7"/>
      <c r="Q941" s="7"/>
      <c r="R941" s="7"/>
      <c r="S941" s="7"/>
      <c r="T941" s="7"/>
      <c r="U941" s="7"/>
      <c r="V941" s="7"/>
      <c r="W941" s="7"/>
    </row>
    <row r="942" spans="1:23" ht="15.75" customHeight="1" x14ac:dyDescent="0.2">
      <c r="A942" s="7"/>
      <c r="B942" s="7"/>
      <c r="C942" s="7"/>
      <c r="D942" s="7"/>
      <c r="E942" s="7"/>
      <c r="F942" s="7"/>
      <c r="G942" s="7"/>
      <c r="H942" s="7"/>
      <c r="I942" s="7"/>
      <c r="J942" s="7"/>
      <c r="K942" s="7"/>
      <c r="L942" s="7"/>
      <c r="M942" s="7"/>
      <c r="N942" s="7"/>
      <c r="O942" s="7"/>
      <c r="P942" s="7"/>
      <c r="Q942" s="7"/>
      <c r="R942" s="7"/>
      <c r="S942" s="7"/>
      <c r="T942" s="7"/>
      <c r="U942" s="7"/>
      <c r="V942" s="7"/>
      <c r="W942" s="7"/>
    </row>
    <row r="943" spans="1:23" ht="15.75" customHeight="1" x14ac:dyDescent="0.2">
      <c r="A943" s="7"/>
      <c r="B943" s="7"/>
      <c r="C943" s="7"/>
      <c r="D943" s="7"/>
      <c r="E943" s="7"/>
      <c r="F943" s="7"/>
      <c r="G943" s="7"/>
      <c r="H943" s="7"/>
      <c r="I943" s="7"/>
      <c r="J943" s="7"/>
      <c r="K943" s="7"/>
      <c r="L943" s="7"/>
      <c r="M943" s="7"/>
      <c r="N943" s="7"/>
      <c r="O943" s="7"/>
      <c r="P943" s="7"/>
      <c r="Q943" s="7"/>
      <c r="R943" s="7"/>
      <c r="S943" s="7"/>
      <c r="T943" s="7"/>
      <c r="U943" s="7"/>
      <c r="V943" s="7"/>
      <c r="W943" s="7"/>
    </row>
    <row r="944" spans="1:23" ht="15.75" customHeight="1" x14ac:dyDescent="0.2">
      <c r="A944" s="7"/>
      <c r="B944" s="7"/>
      <c r="C944" s="7"/>
      <c r="D944" s="7"/>
      <c r="E944" s="7"/>
      <c r="F944" s="7"/>
      <c r="G944" s="7"/>
      <c r="H944" s="7"/>
      <c r="I944" s="7"/>
      <c r="J944" s="7"/>
      <c r="K944" s="7"/>
      <c r="L944" s="7"/>
      <c r="M944" s="7"/>
      <c r="N944" s="7"/>
      <c r="O944" s="7"/>
      <c r="P944" s="7"/>
      <c r="Q944" s="7"/>
      <c r="R944" s="7"/>
      <c r="S944" s="7"/>
      <c r="T944" s="7"/>
      <c r="U944" s="7"/>
      <c r="V944" s="7"/>
      <c r="W944" s="7"/>
    </row>
    <row r="945" spans="1:23" ht="15.75" customHeight="1" x14ac:dyDescent="0.2">
      <c r="A945" s="7"/>
      <c r="B945" s="7"/>
      <c r="C945" s="7"/>
      <c r="D945" s="7"/>
      <c r="E945" s="7"/>
      <c r="F945" s="7"/>
      <c r="G945" s="7"/>
      <c r="H945" s="7"/>
      <c r="I945" s="7"/>
      <c r="J945" s="7"/>
      <c r="K945" s="7"/>
      <c r="L945" s="7"/>
      <c r="M945" s="7"/>
      <c r="N945" s="7"/>
      <c r="O945" s="7"/>
      <c r="P945" s="7"/>
      <c r="Q945" s="7"/>
      <c r="R945" s="7"/>
      <c r="S945" s="7"/>
      <c r="T945" s="7"/>
      <c r="U945" s="7"/>
      <c r="V945" s="7"/>
      <c r="W945" s="7"/>
    </row>
    <row r="946" spans="1:23" ht="15.75" customHeight="1" x14ac:dyDescent="0.2">
      <c r="A946" s="7"/>
      <c r="B946" s="7"/>
      <c r="C946" s="7"/>
      <c r="D946" s="7"/>
      <c r="E946" s="7"/>
      <c r="F946" s="7"/>
      <c r="G946" s="7"/>
      <c r="H946" s="7"/>
      <c r="I946" s="7"/>
      <c r="J946" s="7"/>
      <c r="K946" s="7"/>
      <c r="L946" s="7"/>
      <c r="M946" s="7"/>
      <c r="N946" s="7"/>
      <c r="O946" s="7"/>
      <c r="P946" s="7"/>
      <c r="Q946" s="7"/>
      <c r="R946" s="7"/>
      <c r="S946" s="7"/>
      <c r="T946" s="7"/>
      <c r="U946" s="7"/>
      <c r="V946" s="7"/>
      <c r="W946" s="7"/>
    </row>
    <row r="947" spans="1:23" ht="15.75" customHeight="1" x14ac:dyDescent="0.2">
      <c r="A947" s="7"/>
      <c r="B947" s="7"/>
      <c r="C947" s="7"/>
      <c r="D947" s="7"/>
      <c r="E947" s="7"/>
      <c r="F947" s="7"/>
      <c r="G947" s="7"/>
      <c r="H947" s="7"/>
      <c r="I947" s="7"/>
      <c r="J947" s="7"/>
      <c r="K947" s="7"/>
      <c r="L947" s="7"/>
      <c r="M947" s="7"/>
      <c r="N947" s="7"/>
      <c r="O947" s="7"/>
      <c r="P947" s="7"/>
      <c r="Q947" s="7"/>
      <c r="R947" s="7"/>
      <c r="S947" s="7"/>
      <c r="T947" s="7"/>
      <c r="U947" s="7"/>
      <c r="V947" s="7"/>
      <c r="W947" s="7"/>
    </row>
    <row r="948" spans="1:23" ht="15.75" customHeight="1" x14ac:dyDescent="0.2">
      <c r="A948" s="7"/>
      <c r="B948" s="7"/>
      <c r="C948" s="7"/>
      <c r="D948" s="7"/>
      <c r="E948" s="7"/>
      <c r="F948" s="7"/>
      <c r="G948" s="7"/>
      <c r="H948" s="7"/>
      <c r="I948" s="7"/>
      <c r="J948" s="7"/>
      <c r="K948" s="7"/>
      <c r="L948" s="7"/>
      <c r="M948" s="7"/>
      <c r="N948" s="7"/>
      <c r="O948" s="7"/>
      <c r="P948" s="7"/>
      <c r="Q948" s="7"/>
      <c r="R948" s="7"/>
      <c r="S948" s="7"/>
      <c r="T948" s="7"/>
      <c r="U948" s="7"/>
      <c r="V948" s="7"/>
      <c r="W948" s="7"/>
    </row>
    <row r="949" spans="1:23" ht="15.75" customHeight="1" x14ac:dyDescent="0.2">
      <c r="A949" s="7"/>
      <c r="B949" s="7"/>
      <c r="C949" s="7"/>
      <c r="D949" s="7"/>
      <c r="E949" s="7"/>
      <c r="F949" s="7"/>
      <c r="G949" s="7"/>
      <c r="H949" s="7"/>
      <c r="I949" s="7"/>
      <c r="J949" s="7"/>
      <c r="K949" s="7"/>
      <c r="L949" s="7"/>
      <c r="M949" s="7"/>
      <c r="N949" s="7"/>
      <c r="O949" s="7"/>
      <c r="P949" s="7"/>
      <c r="Q949" s="7"/>
      <c r="R949" s="7"/>
      <c r="S949" s="7"/>
      <c r="T949" s="7"/>
      <c r="U949" s="7"/>
      <c r="V949" s="7"/>
      <c r="W949" s="7"/>
    </row>
    <row r="950" spans="1:23" ht="15.75" customHeight="1" x14ac:dyDescent="0.2">
      <c r="A950" s="7"/>
      <c r="B950" s="7"/>
      <c r="C950" s="7"/>
      <c r="D950" s="7"/>
      <c r="E950" s="7"/>
      <c r="F950" s="7"/>
      <c r="G950" s="7"/>
      <c r="H950" s="7"/>
      <c r="I950" s="7"/>
      <c r="J950" s="7"/>
      <c r="K950" s="7"/>
      <c r="L950" s="7"/>
      <c r="M950" s="7"/>
      <c r="N950" s="7"/>
      <c r="O950" s="7"/>
      <c r="P950" s="7"/>
      <c r="Q950" s="7"/>
      <c r="R950" s="7"/>
      <c r="S950" s="7"/>
      <c r="T950" s="7"/>
      <c r="U950" s="7"/>
      <c r="V950" s="7"/>
      <c r="W950" s="7"/>
    </row>
    <row r="951" spans="1:23" ht="15.75" customHeight="1" x14ac:dyDescent="0.2">
      <c r="A951" s="7"/>
      <c r="B951" s="7"/>
      <c r="C951" s="7"/>
      <c r="D951" s="7"/>
      <c r="E951" s="7"/>
      <c r="F951" s="7"/>
      <c r="G951" s="7"/>
      <c r="H951" s="7"/>
      <c r="I951" s="7"/>
      <c r="J951" s="7"/>
      <c r="K951" s="7"/>
      <c r="L951" s="7"/>
      <c r="M951" s="7"/>
      <c r="N951" s="7"/>
      <c r="O951" s="7"/>
      <c r="P951" s="7"/>
      <c r="Q951" s="7"/>
      <c r="R951" s="7"/>
      <c r="S951" s="7"/>
      <c r="T951" s="7"/>
      <c r="U951" s="7"/>
      <c r="V951" s="7"/>
      <c r="W951" s="7"/>
    </row>
    <row r="952" spans="1:23" ht="15.75" customHeight="1" x14ac:dyDescent="0.2">
      <c r="A952" s="7"/>
      <c r="B952" s="7"/>
      <c r="C952" s="7"/>
      <c r="D952" s="7"/>
      <c r="E952" s="7"/>
      <c r="F952" s="7"/>
      <c r="G952" s="7"/>
      <c r="H952" s="7"/>
      <c r="I952" s="7"/>
      <c r="J952" s="7"/>
      <c r="K952" s="7"/>
      <c r="L952" s="7"/>
      <c r="M952" s="7"/>
      <c r="N952" s="7"/>
      <c r="O952" s="7"/>
      <c r="P952" s="7"/>
      <c r="Q952" s="7"/>
      <c r="R952" s="7"/>
      <c r="S952" s="7"/>
      <c r="T952" s="7"/>
      <c r="U952" s="7"/>
      <c r="V952" s="7"/>
      <c r="W952" s="7"/>
    </row>
    <row r="953" spans="1:23" ht="15.75" customHeight="1" x14ac:dyDescent="0.2">
      <c r="A953" s="7"/>
      <c r="B953" s="7"/>
      <c r="C953" s="7"/>
      <c r="D953" s="7"/>
      <c r="E953" s="7"/>
      <c r="F953" s="7"/>
      <c r="G953" s="7"/>
      <c r="H953" s="7"/>
      <c r="I953" s="7"/>
      <c r="J953" s="7"/>
      <c r="K953" s="7"/>
      <c r="L953" s="7"/>
      <c r="M953" s="7"/>
      <c r="N953" s="7"/>
      <c r="O953" s="7"/>
      <c r="P953" s="7"/>
      <c r="Q953" s="7"/>
      <c r="R953" s="7"/>
      <c r="S953" s="7"/>
      <c r="T953" s="7"/>
      <c r="U953" s="7"/>
      <c r="V953" s="7"/>
      <c r="W953" s="7"/>
    </row>
    <row r="954" spans="1:23" ht="15.75" customHeight="1" x14ac:dyDescent="0.2">
      <c r="A954" s="7"/>
      <c r="B954" s="7"/>
      <c r="C954" s="7"/>
      <c r="D954" s="7"/>
      <c r="E954" s="7"/>
      <c r="F954" s="7"/>
      <c r="G954" s="7"/>
      <c r="H954" s="7"/>
      <c r="I954" s="7"/>
      <c r="J954" s="7"/>
      <c r="K954" s="7"/>
      <c r="L954" s="7"/>
      <c r="M954" s="7"/>
      <c r="N954" s="7"/>
      <c r="O954" s="7"/>
      <c r="P954" s="7"/>
      <c r="Q954" s="7"/>
      <c r="R954" s="7"/>
      <c r="S954" s="7"/>
      <c r="T954" s="7"/>
      <c r="U954" s="7"/>
      <c r="V954" s="7"/>
      <c r="W954" s="7"/>
    </row>
    <row r="955" spans="1:23" ht="15.75" customHeight="1" x14ac:dyDescent="0.2">
      <c r="A955" s="7"/>
      <c r="B955" s="7"/>
      <c r="C955" s="7"/>
      <c r="D955" s="7"/>
      <c r="E955" s="7"/>
      <c r="F955" s="7"/>
      <c r="G955" s="7"/>
      <c r="H955" s="7"/>
      <c r="I955" s="7"/>
      <c r="J955" s="7"/>
      <c r="K955" s="7"/>
      <c r="L955" s="7"/>
      <c r="M955" s="7"/>
      <c r="N955" s="7"/>
      <c r="O955" s="7"/>
      <c r="P955" s="7"/>
      <c r="Q955" s="7"/>
      <c r="R955" s="7"/>
      <c r="S955" s="7"/>
      <c r="T955" s="7"/>
      <c r="U955" s="7"/>
      <c r="V955" s="7"/>
      <c r="W955" s="7"/>
    </row>
    <row r="956" spans="1:23" ht="15.75" customHeight="1" x14ac:dyDescent="0.2">
      <c r="A956" s="7"/>
      <c r="B956" s="7"/>
      <c r="C956" s="7"/>
      <c r="D956" s="7"/>
      <c r="E956" s="7"/>
      <c r="F956" s="7"/>
      <c r="G956" s="7"/>
      <c r="H956" s="7"/>
      <c r="I956" s="7"/>
      <c r="J956" s="7"/>
      <c r="K956" s="7"/>
      <c r="L956" s="7"/>
      <c r="M956" s="7"/>
      <c r="N956" s="7"/>
      <c r="O956" s="7"/>
      <c r="P956" s="7"/>
      <c r="Q956" s="7"/>
      <c r="R956" s="7"/>
      <c r="S956" s="7"/>
      <c r="T956" s="7"/>
      <c r="U956" s="7"/>
      <c r="V956" s="7"/>
      <c r="W956" s="7"/>
    </row>
    <row r="957" spans="1:23" ht="15.75" customHeight="1" x14ac:dyDescent="0.2">
      <c r="A957" s="7"/>
      <c r="B957" s="7"/>
      <c r="C957" s="7"/>
      <c r="D957" s="7"/>
      <c r="E957" s="7"/>
      <c r="F957" s="7"/>
      <c r="G957" s="7"/>
      <c r="H957" s="7"/>
      <c r="I957" s="7"/>
      <c r="J957" s="7"/>
      <c r="K957" s="7"/>
      <c r="L957" s="7"/>
      <c r="M957" s="7"/>
      <c r="N957" s="7"/>
      <c r="O957" s="7"/>
      <c r="P957" s="7"/>
      <c r="Q957" s="7"/>
      <c r="R957" s="7"/>
      <c r="S957" s="7"/>
      <c r="T957" s="7"/>
      <c r="U957" s="7"/>
      <c r="V957" s="7"/>
      <c r="W957" s="7"/>
    </row>
    <row r="958" spans="1:23" ht="15.75" customHeight="1" x14ac:dyDescent="0.2">
      <c r="A958" s="7"/>
      <c r="B958" s="7"/>
      <c r="C958" s="7"/>
      <c r="D958" s="7"/>
      <c r="E958" s="7"/>
      <c r="F958" s="7"/>
      <c r="G958" s="7"/>
      <c r="H958" s="7"/>
      <c r="I958" s="7"/>
      <c r="J958" s="7"/>
      <c r="K958" s="7"/>
      <c r="L958" s="7"/>
      <c r="M958" s="7"/>
      <c r="N958" s="7"/>
      <c r="O958" s="7"/>
      <c r="P958" s="7"/>
      <c r="Q958" s="7"/>
      <c r="R958" s="7"/>
      <c r="S958" s="7"/>
      <c r="T958" s="7"/>
      <c r="U958" s="7"/>
      <c r="V958" s="7"/>
      <c r="W958" s="7"/>
    </row>
    <row r="959" spans="1:23" ht="15.75" customHeight="1" x14ac:dyDescent="0.2">
      <c r="A959" s="7"/>
      <c r="B959" s="7"/>
      <c r="C959" s="7"/>
      <c r="D959" s="7"/>
      <c r="E959" s="7"/>
      <c r="F959" s="7"/>
      <c r="G959" s="7"/>
      <c r="H959" s="7"/>
      <c r="I959" s="7"/>
      <c r="J959" s="7"/>
      <c r="K959" s="7"/>
      <c r="L959" s="7"/>
      <c r="M959" s="7"/>
      <c r="N959" s="7"/>
      <c r="O959" s="7"/>
      <c r="P959" s="7"/>
      <c r="Q959" s="7"/>
      <c r="R959" s="7"/>
      <c r="S959" s="7"/>
      <c r="T959" s="7"/>
      <c r="U959" s="7"/>
      <c r="V959" s="7"/>
      <c r="W959" s="7"/>
    </row>
    <row r="960" spans="1:23" ht="15.75" customHeight="1" x14ac:dyDescent="0.2">
      <c r="A960" s="7"/>
      <c r="B960" s="7"/>
      <c r="C960" s="7"/>
      <c r="D960" s="7"/>
      <c r="E960" s="7"/>
      <c r="F960" s="7"/>
      <c r="G960" s="7"/>
      <c r="H960" s="7"/>
      <c r="I960" s="7"/>
      <c r="J960" s="7"/>
      <c r="K960" s="7"/>
      <c r="L960" s="7"/>
      <c r="M960" s="7"/>
      <c r="N960" s="7"/>
      <c r="O960" s="7"/>
      <c r="P960" s="7"/>
      <c r="Q960" s="7"/>
      <c r="R960" s="7"/>
      <c r="S960" s="7"/>
      <c r="T960" s="7"/>
      <c r="U960" s="7"/>
      <c r="V960" s="7"/>
      <c r="W960" s="7"/>
    </row>
    <row r="961" spans="1:23" ht="15.75" customHeight="1" x14ac:dyDescent="0.2">
      <c r="A961" s="7"/>
      <c r="B961" s="7"/>
      <c r="C961" s="7"/>
      <c r="D961" s="7"/>
      <c r="E961" s="7"/>
      <c r="F961" s="7"/>
      <c r="G961" s="7"/>
      <c r="H961" s="7"/>
      <c r="I961" s="7"/>
      <c r="J961" s="7"/>
      <c r="K961" s="7"/>
      <c r="L961" s="7"/>
      <c r="M961" s="7"/>
      <c r="N961" s="7"/>
      <c r="O961" s="7"/>
      <c r="P961" s="7"/>
      <c r="Q961" s="7"/>
      <c r="R961" s="7"/>
      <c r="S961" s="7"/>
      <c r="T961" s="7"/>
      <c r="U961" s="7"/>
      <c r="V961" s="7"/>
      <c r="W961" s="7"/>
    </row>
    <row r="962" spans="1:23" ht="15.75" customHeight="1" x14ac:dyDescent="0.2">
      <c r="A962" s="7"/>
      <c r="B962" s="7"/>
      <c r="C962" s="7"/>
      <c r="D962" s="7"/>
      <c r="E962" s="7"/>
      <c r="F962" s="7"/>
      <c r="G962" s="7"/>
      <c r="H962" s="7"/>
      <c r="I962" s="7"/>
      <c r="J962" s="7"/>
      <c r="K962" s="7"/>
      <c r="L962" s="7"/>
      <c r="M962" s="7"/>
      <c r="N962" s="7"/>
      <c r="O962" s="7"/>
      <c r="P962" s="7"/>
      <c r="Q962" s="7"/>
      <c r="R962" s="7"/>
      <c r="S962" s="7"/>
      <c r="T962" s="7"/>
      <c r="U962" s="7"/>
      <c r="V962" s="7"/>
      <c r="W962" s="7"/>
    </row>
    <row r="963" spans="1:23" ht="15.75" customHeight="1" x14ac:dyDescent="0.2">
      <c r="A963" s="7"/>
      <c r="B963" s="7"/>
      <c r="C963" s="7"/>
      <c r="D963" s="7"/>
      <c r="E963" s="7"/>
      <c r="F963" s="7"/>
      <c r="G963" s="7"/>
      <c r="H963" s="7"/>
      <c r="I963" s="7"/>
      <c r="J963" s="7"/>
      <c r="K963" s="7"/>
      <c r="L963" s="7"/>
      <c r="M963" s="7"/>
      <c r="N963" s="7"/>
      <c r="O963" s="7"/>
      <c r="P963" s="7"/>
      <c r="Q963" s="7"/>
      <c r="R963" s="7"/>
      <c r="S963" s="7"/>
      <c r="T963" s="7"/>
      <c r="U963" s="7"/>
      <c r="V963" s="7"/>
      <c r="W963" s="7"/>
    </row>
    <row r="964" spans="1:23" ht="15.75" customHeight="1" x14ac:dyDescent="0.2">
      <c r="A964" s="7"/>
      <c r="B964" s="7"/>
      <c r="C964" s="7"/>
      <c r="D964" s="7"/>
      <c r="E964" s="7"/>
      <c r="F964" s="7"/>
      <c r="G964" s="7"/>
      <c r="H964" s="7"/>
      <c r="I964" s="7"/>
      <c r="J964" s="7"/>
      <c r="K964" s="7"/>
      <c r="L964" s="7"/>
      <c r="M964" s="7"/>
      <c r="N964" s="7"/>
      <c r="O964" s="7"/>
      <c r="P964" s="7"/>
      <c r="Q964" s="7"/>
      <c r="R964" s="7"/>
      <c r="S964" s="7"/>
      <c r="T964" s="7"/>
      <c r="U964" s="7"/>
      <c r="V964" s="7"/>
      <c r="W964" s="7"/>
    </row>
    <row r="965" spans="1:23" ht="15.75" customHeight="1" x14ac:dyDescent="0.2">
      <c r="A965" s="7"/>
      <c r="B965" s="7"/>
      <c r="C965" s="7"/>
      <c r="D965" s="7"/>
      <c r="E965" s="7"/>
      <c r="F965" s="7"/>
      <c r="G965" s="7"/>
      <c r="H965" s="7"/>
      <c r="I965" s="7"/>
      <c r="J965" s="7"/>
      <c r="K965" s="7"/>
      <c r="L965" s="7"/>
      <c r="M965" s="7"/>
      <c r="N965" s="7"/>
      <c r="O965" s="7"/>
      <c r="P965" s="7"/>
      <c r="Q965" s="7"/>
      <c r="R965" s="7"/>
      <c r="S965" s="7"/>
      <c r="T965" s="7"/>
      <c r="U965" s="7"/>
      <c r="V965" s="7"/>
      <c r="W965" s="7"/>
    </row>
    <row r="966" spans="1:23" ht="15.75" customHeight="1" x14ac:dyDescent="0.2">
      <c r="A966" s="7"/>
      <c r="B966" s="7"/>
      <c r="C966" s="7"/>
      <c r="D966" s="7"/>
      <c r="E966" s="7"/>
      <c r="F966" s="7"/>
      <c r="G966" s="7"/>
      <c r="H966" s="7"/>
      <c r="I966" s="7"/>
      <c r="J966" s="7"/>
      <c r="K966" s="7"/>
      <c r="L966" s="7"/>
      <c r="M966" s="7"/>
      <c r="N966" s="7"/>
      <c r="O966" s="7"/>
      <c r="P966" s="7"/>
      <c r="Q966" s="7"/>
      <c r="R966" s="7"/>
      <c r="S966" s="7"/>
      <c r="T966" s="7"/>
      <c r="U966" s="7"/>
      <c r="V966" s="7"/>
      <c r="W966" s="7"/>
    </row>
    <row r="967" spans="1:23" ht="15.75" customHeight="1" x14ac:dyDescent="0.2">
      <c r="A967" s="7"/>
      <c r="B967" s="7"/>
      <c r="C967" s="7"/>
      <c r="D967" s="7"/>
      <c r="E967" s="7"/>
      <c r="F967" s="7"/>
      <c r="G967" s="7"/>
      <c r="H967" s="7"/>
      <c r="I967" s="7"/>
      <c r="J967" s="7"/>
      <c r="K967" s="7"/>
      <c r="L967" s="7"/>
      <c r="M967" s="7"/>
      <c r="N967" s="7"/>
      <c r="O967" s="7"/>
      <c r="P967" s="7"/>
      <c r="Q967" s="7"/>
      <c r="R967" s="7"/>
      <c r="S967" s="7"/>
      <c r="T967" s="7"/>
      <c r="U967" s="7"/>
      <c r="V967" s="7"/>
      <c r="W967" s="7"/>
    </row>
    <row r="968" spans="1:23" ht="15.75" customHeight="1" x14ac:dyDescent="0.2">
      <c r="A968" s="7"/>
      <c r="B968" s="7"/>
      <c r="C968" s="7"/>
      <c r="D968" s="7"/>
      <c r="E968" s="7"/>
      <c r="F968" s="7"/>
      <c r="G968" s="7"/>
      <c r="H968" s="7"/>
      <c r="I968" s="7"/>
      <c r="J968" s="7"/>
      <c r="K968" s="7"/>
      <c r="L968" s="7"/>
      <c r="M968" s="7"/>
      <c r="N968" s="7"/>
      <c r="O968" s="7"/>
      <c r="P968" s="7"/>
      <c r="Q968" s="7"/>
      <c r="R968" s="7"/>
      <c r="S968" s="7"/>
      <c r="T968" s="7"/>
      <c r="U968" s="7"/>
      <c r="V968" s="7"/>
      <c r="W968" s="7"/>
    </row>
    <row r="969" spans="1:23" ht="15.75" customHeight="1" x14ac:dyDescent="0.2">
      <c r="A969" s="7"/>
      <c r="B969" s="7"/>
      <c r="C969" s="7"/>
      <c r="D969" s="7"/>
      <c r="E969" s="7"/>
      <c r="F969" s="7"/>
      <c r="G969" s="7"/>
      <c r="H969" s="7"/>
      <c r="I969" s="7"/>
      <c r="J969" s="7"/>
      <c r="K969" s="7"/>
      <c r="L969" s="7"/>
      <c r="M969" s="7"/>
      <c r="N969" s="7"/>
      <c r="O969" s="7"/>
      <c r="P969" s="7"/>
      <c r="Q969" s="7"/>
      <c r="R969" s="7"/>
      <c r="S969" s="7"/>
      <c r="T969" s="7"/>
      <c r="U969" s="7"/>
      <c r="V969" s="7"/>
      <c r="W969" s="7"/>
    </row>
    <row r="970" spans="1:23" ht="15.75" customHeight="1" x14ac:dyDescent="0.2">
      <c r="A970" s="7"/>
      <c r="B970" s="7"/>
      <c r="C970" s="7"/>
      <c r="D970" s="7"/>
      <c r="E970" s="7"/>
      <c r="F970" s="7"/>
      <c r="G970" s="7"/>
      <c r="H970" s="7"/>
      <c r="I970" s="7"/>
      <c r="J970" s="7"/>
      <c r="K970" s="7"/>
      <c r="L970" s="7"/>
      <c r="M970" s="7"/>
      <c r="N970" s="7"/>
      <c r="O970" s="7"/>
      <c r="P970" s="7"/>
      <c r="Q970" s="7"/>
      <c r="R970" s="7"/>
      <c r="S970" s="7"/>
      <c r="T970" s="7"/>
      <c r="U970" s="7"/>
      <c r="V970" s="7"/>
      <c r="W970" s="7"/>
    </row>
    <row r="971" spans="1:23" ht="15.75" customHeight="1" x14ac:dyDescent="0.2">
      <c r="A971" s="7"/>
      <c r="B971" s="7"/>
      <c r="C971" s="7"/>
      <c r="D971" s="7"/>
      <c r="E971" s="7"/>
      <c r="F971" s="7"/>
      <c r="G971" s="7"/>
      <c r="H971" s="7"/>
      <c r="I971" s="7"/>
      <c r="J971" s="7"/>
      <c r="K971" s="7"/>
      <c r="L971" s="7"/>
      <c r="M971" s="7"/>
      <c r="N971" s="7"/>
      <c r="O971" s="7"/>
      <c r="P971" s="7"/>
      <c r="Q971" s="7"/>
      <c r="R971" s="7"/>
      <c r="S971" s="7"/>
      <c r="T971" s="7"/>
      <c r="U971" s="7"/>
      <c r="V971" s="7"/>
      <c r="W971" s="7"/>
    </row>
    <row r="972" spans="1:23" ht="15.75" customHeight="1" x14ac:dyDescent="0.2">
      <c r="A972" s="7"/>
      <c r="B972" s="7"/>
      <c r="C972" s="7"/>
      <c r="D972" s="7"/>
      <c r="E972" s="7"/>
      <c r="F972" s="7"/>
      <c r="G972" s="7"/>
      <c r="H972" s="7"/>
      <c r="I972" s="7"/>
      <c r="J972" s="7"/>
      <c r="K972" s="7"/>
      <c r="L972" s="7"/>
      <c r="M972" s="7"/>
      <c r="N972" s="7"/>
      <c r="O972" s="7"/>
      <c r="P972" s="7"/>
      <c r="Q972" s="7"/>
      <c r="R972" s="7"/>
      <c r="S972" s="7"/>
      <c r="T972" s="7"/>
      <c r="U972" s="7"/>
      <c r="V972" s="7"/>
      <c r="W972" s="7"/>
    </row>
    <row r="973" spans="1:23" ht="15.75" customHeight="1" x14ac:dyDescent="0.2">
      <c r="A973" s="7"/>
      <c r="B973" s="7"/>
      <c r="C973" s="7"/>
      <c r="D973" s="7"/>
      <c r="E973" s="7"/>
      <c r="F973" s="7"/>
      <c r="G973" s="7"/>
      <c r="H973" s="7"/>
      <c r="I973" s="7"/>
      <c r="J973" s="7"/>
      <c r="K973" s="7"/>
      <c r="L973" s="7"/>
      <c r="M973" s="7"/>
      <c r="N973" s="7"/>
      <c r="O973" s="7"/>
      <c r="P973" s="7"/>
      <c r="Q973" s="7"/>
      <c r="R973" s="7"/>
      <c r="S973" s="7"/>
      <c r="T973" s="7"/>
      <c r="U973" s="7"/>
      <c r="V973" s="7"/>
      <c r="W973" s="7"/>
    </row>
    <row r="974" spans="1:23" ht="15.75" customHeight="1" x14ac:dyDescent="0.2">
      <c r="A974" s="7"/>
      <c r="B974" s="7"/>
      <c r="C974" s="7"/>
      <c r="D974" s="7"/>
      <c r="E974" s="7"/>
      <c r="F974" s="7"/>
      <c r="G974" s="7"/>
      <c r="H974" s="7"/>
      <c r="I974" s="7"/>
      <c r="J974" s="7"/>
      <c r="K974" s="7"/>
      <c r="L974" s="7"/>
      <c r="M974" s="7"/>
      <c r="N974" s="7"/>
      <c r="O974" s="7"/>
      <c r="P974" s="7"/>
      <c r="Q974" s="7"/>
      <c r="R974" s="7"/>
      <c r="S974" s="7"/>
      <c r="T974" s="7"/>
      <c r="U974" s="7"/>
      <c r="V974" s="7"/>
      <c r="W974" s="7"/>
    </row>
    <row r="975" spans="1:23" ht="15.75" customHeight="1" x14ac:dyDescent="0.2">
      <c r="A975" s="7"/>
      <c r="B975" s="7"/>
      <c r="C975" s="7"/>
      <c r="D975" s="7"/>
      <c r="E975" s="7"/>
      <c r="F975" s="7"/>
      <c r="G975" s="7"/>
      <c r="H975" s="7"/>
      <c r="I975" s="7"/>
      <c r="J975" s="7"/>
      <c r="K975" s="7"/>
      <c r="L975" s="7"/>
      <c r="M975" s="7"/>
      <c r="N975" s="7"/>
      <c r="O975" s="7"/>
      <c r="P975" s="7"/>
      <c r="Q975" s="7"/>
      <c r="R975" s="7"/>
      <c r="S975" s="7"/>
      <c r="T975" s="7"/>
      <c r="U975" s="7"/>
      <c r="V975" s="7"/>
      <c r="W975" s="7"/>
    </row>
    <row r="976" spans="1:23" ht="15.75" customHeight="1" x14ac:dyDescent="0.2">
      <c r="A976" s="7"/>
      <c r="B976" s="7"/>
      <c r="C976" s="7"/>
      <c r="D976" s="7"/>
      <c r="E976" s="7"/>
      <c r="F976" s="7"/>
      <c r="G976" s="7"/>
      <c r="H976" s="7"/>
      <c r="I976" s="7"/>
      <c r="J976" s="7"/>
      <c r="K976" s="7"/>
      <c r="L976" s="7"/>
      <c r="M976" s="7"/>
      <c r="N976" s="7"/>
      <c r="O976" s="7"/>
      <c r="P976" s="7"/>
      <c r="Q976" s="7"/>
      <c r="R976" s="7"/>
      <c r="S976" s="7"/>
      <c r="T976" s="7"/>
      <c r="U976" s="7"/>
      <c r="V976" s="7"/>
      <c r="W976" s="7"/>
    </row>
    <row r="977" spans="1:23" ht="15.75" customHeight="1" x14ac:dyDescent="0.2">
      <c r="A977" s="7"/>
      <c r="B977" s="7"/>
      <c r="C977" s="7"/>
      <c r="D977" s="7"/>
      <c r="E977" s="7"/>
      <c r="F977" s="7"/>
      <c r="G977" s="7"/>
      <c r="H977" s="7"/>
      <c r="I977" s="7"/>
      <c r="J977" s="7"/>
      <c r="K977" s="7"/>
      <c r="L977" s="7"/>
      <c r="M977" s="7"/>
      <c r="N977" s="7"/>
      <c r="O977" s="7"/>
      <c r="P977" s="7"/>
      <c r="Q977" s="7"/>
      <c r="R977" s="7"/>
      <c r="S977" s="7"/>
      <c r="T977" s="7"/>
      <c r="U977" s="7"/>
      <c r="V977" s="7"/>
      <c r="W977" s="7"/>
    </row>
    <row r="978" spans="1:23" ht="15.75" customHeight="1" x14ac:dyDescent="0.2">
      <c r="A978" s="7"/>
      <c r="B978" s="7"/>
      <c r="C978" s="7"/>
      <c r="D978" s="7"/>
      <c r="E978" s="7"/>
      <c r="F978" s="7"/>
      <c r="G978" s="7"/>
      <c r="H978" s="7"/>
      <c r="I978" s="7"/>
      <c r="J978" s="7"/>
      <c r="K978" s="7"/>
      <c r="L978" s="7"/>
      <c r="M978" s="7"/>
      <c r="N978" s="7"/>
      <c r="O978" s="7"/>
      <c r="P978" s="7"/>
      <c r="Q978" s="7"/>
      <c r="R978" s="7"/>
      <c r="S978" s="7"/>
      <c r="T978" s="7"/>
      <c r="U978" s="7"/>
      <c r="V978" s="7"/>
      <c r="W978" s="7"/>
    </row>
    <row r="979" spans="1:23" ht="15.75" customHeight="1" x14ac:dyDescent="0.2">
      <c r="A979" s="7"/>
      <c r="B979" s="7"/>
      <c r="C979" s="7"/>
      <c r="D979" s="7"/>
      <c r="E979" s="7"/>
      <c r="F979" s="7"/>
      <c r="G979" s="7"/>
      <c r="H979" s="7"/>
      <c r="I979" s="7"/>
      <c r="J979" s="7"/>
      <c r="K979" s="7"/>
      <c r="L979" s="7"/>
      <c r="M979" s="7"/>
      <c r="N979" s="7"/>
      <c r="O979" s="7"/>
      <c r="P979" s="7"/>
      <c r="Q979" s="7"/>
      <c r="R979" s="7"/>
      <c r="S979" s="7"/>
      <c r="T979" s="7"/>
      <c r="U979" s="7"/>
      <c r="V979" s="7"/>
      <c r="W979" s="7"/>
    </row>
    <row r="980" spans="1:23" ht="15.75" customHeight="1" x14ac:dyDescent="0.2">
      <c r="A980" s="7"/>
      <c r="B980" s="7"/>
      <c r="C980" s="7"/>
      <c r="D980" s="7"/>
      <c r="E980" s="7"/>
      <c r="F980" s="7"/>
      <c r="G980" s="7"/>
      <c r="H980" s="7"/>
      <c r="I980" s="7"/>
      <c r="J980" s="7"/>
      <c r="K980" s="7"/>
      <c r="L980" s="7"/>
      <c r="M980" s="7"/>
      <c r="N980" s="7"/>
      <c r="O980" s="7"/>
      <c r="P980" s="7"/>
      <c r="Q980" s="7"/>
      <c r="R980" s="7"/>
      <c r="S980" s="7"/>
      <c r="T980" s="7"/>
      <c r="U980" s="7"/>
      <c r="V980" s="7"/>
      <c r="W980" s="7"/>
    </row>
    <row r="981" spans="1:23" ht="15.75" customHeight="1" x14ac:dyDescent="0.2">
      <c r="A981" s="7"/>
      <c r="B981" s="7"/>
      <c r="C981" s="7"/>
      <c r="D981" s="7"/>
      <c r="E981" s="7"/>
      <c r="F981" s="7"/>
      <c r="G981" s="7"/>
      <c r="H981" s="7"/>
      <c r="I981" s="7"/>
      <c r="J981" s="7"/>
      <c r="K981" s="7"/>
      <c r="L981" s="7"/>
      <c r="M981" s="7"/>
      <c r="N981" s="7"/>
      <c r="O981" s="7"/>
      <c r="P981" s="7"/>
      <c r="Q981" s="7"/>
      <c r="R981" s="7"/>
      <c r="S981" s="7"/>
      <c r="T981" s="7"/>
      <c r="U981" s="7"/>
      <c r="V981" s="7"/>
      <c r="W981" s="7"/>
    </row>
    <row r="982" spans="1:23" ht="15.75" customHeight="1" x14ac:dyDescent="0.2">
      <c r="A982" s="7"/>
      <c r="B982" s="7"/>
      <c r="C982" s="7"/>
      <c r="D982" s="7"/>
      <c r="E982" s="7"/>
      <c r="F982" s="7"/>
      <c r="G982" s="7"/>
      <c r="H982" s="7"/>
      <c r="I982" s="7"/>
      <c r="J982" s="7"/>
      <c r="K982" s="7"/>
      <c r="L982" s="7"/>
      <c r="M982" s="7"/>
      <c r="N982" s="7"/>
      <c r="O982" s="7"/>
      <c r="P982" s="7"/>
      <c r="Q982" s="7"/>
      <c r="R982" s="7"/>
      <c r="S982" s="7"/>
      <c r="T982" s="7"/>
      <c r="U982" s="7"/>
      <c r="V982" s="7"/>
      <c r="W982" s="7"/>
    </row>
    <row r="983" spans="1:23" ht="15.75" customHeight="1" x14ac:dyDescent="0.2">
      <c r="A983" s="7"/>
      <c r="B983" s="7"/>
      <c r="C983" s="7"/>
      <c r="D983" s="7"/>
      <c r="E983" s="7"/>
      <c r="F983" s="7"/>
      <c r="G983" s="7"/>
      <c r="H983" s="7"/>
      <c r="I983" s="7"/>
      <c r="J983" s="7"/>
      <c r="K983" s="7"/>
      <c r="L983" s="7"/>
      <c r="M983" s="7"/>
      <c r="N983" s="7"/>
      <c r="O983" s="7"/>
      <c r="P983" s="7"/>
      <c r="Q983" s="7"/>
      <c r="R983" s="7"/>
      <c r="S983" s="7"/>
      <c r="T983" s="7"/>
      <c r="U983" s="7"/>
      <c r="V983" s="7"/>
      <c r="W983" s="7"/>
    </row>
    <row r="984" spans="1:23" ht="15.75" customHeight="1" x14ac:dyDescent="0.2">
      <c r="A984" s="7"/>
      <c r="B984" s="7"/>
      <c r="C984" s="7"/>
      <c r="D984" s="7"/>
      <c r="E984" s="7"/>
      <c r="F984" s="7"/>
      <c r="G984" s="7"/>
      <c r="H984" s="7"/>
      <c r="I984" s="7"/>
      <c r="J984" s="7"/>
      <c r="K984" s="7"/>
      <c r="L984" s="7"/>
      <c r="M984" s="7"/>
      <c r="N984" s="7"/>
      <c r="O984" s="7"/>
      <c r="P984" s="7"/>
      <c r="Q984" s="7"/>
      <c r="R984" s="7"/>
      <c r="S984" s="7"/>
      <c r="T984" s="7"/>
      <c r="U984" s="7"/>
      <c r="V984" s="7"/>
      <c r="W984" s="7"/>
    </row>
    <row r="985" spans="1:23" ht="15.75" customHeight="1" x14ac:dyDescent="0.2">
      <c r="A985" s="7"/>
      <c r="B985" s="7"/>
      <c r="C985" s="7"/>
      <c r="D985" s="7"/>
      <c r="E985" s="7"/>
      <c r="F985" s="7"/>
      <c r="G985" s="7"/>
      <c r="H985" s="7"/>
      <c r="I985" s="7"/>
      <c r="J985" s="7"/>
      <c r="K985" s="7"/>
      <c r="L985" s="7"/>
      <c r="M985" s="7"/>
      <c r="N985" s="7"/>
      <c r="O985" s="7"/>
      <c r="P985" s="7"/>
      <c r="Q985" s="7"/>
      <c r="R985" s="7"/>
      <c r="S985" s="7"/>
      <c r="T985" s="7"/>
      <c r="U985" s="7"/>
      <c r="V985" s="7"/>
      <c r="W985" s="7"/>
    </row>
    <row r="986" spans="1:23" ht="15.75" customHeight="1" x14ac:dyDescent="0.2">
      <c r="A986" s="7"/>
      <c r="B986" s="7"/>
      <c r="C986" s="7"/>
      <c r="D986" s="7"/>
      <c r="E986" s="7"/>
      <c r="F986" s="7"/>
      <c r="G986" s="7"/>
      <c r="H986" s="7"/>
      <c r="I986" s="7"/>
      <c r="J986" s="7"/>
      <c r="K986" s="7"/>
      <c r="L986" s="7"/>
      <c r="M986" s="7"/>
      <c r="N986" s="7"/>
      <c r="O986" s="7"/>
      <c r="P986" s="7"/>
      <c r="Q986" s="7"/>
      <c r="R986" s="7"/>
      <c r="S986" s="7"/>
      <c r="T986" s="7"/>
      <c r="U986" s="7"/>
      <c r="V986" s="7"/>
      <c r="W986" s="7"/>
    </row>
    <row r="987" spans="1:23" ht="15.75" customHeight="1" x14ac:dyDescent="0.2">
      <c r="A987" s="7"/>
      <c r="B987" s="7"/>
      <c r="C987" s="7"/>
      <c r="D987" s="7"/>
      <c r="E987" s="7"/>
      <c r="F987" s="7"/>
      <c r="G987" s="7"/>
      <c r="H987" s="7"/>
      <c r="I987" s="7"/>
      <c r="J987" s="7"/>
      <c r="K987" s="7"/>
      <c r="L987" s="7"/>
      <c r="M987" s="7"/>
      <c r="N987" s="7"/>
      <c r="O987" s="7"/>
      <c r="P987" s="7"/>
      <c r="Q987" s="7"/>
      <c r="R987" s="7"/>
      <c r="S987" s="7"/>
      <c r="T987" s="7"/>
      <c r="U987" s="7"/>
      <c r="V987" s="7"/>
      <c r="W987" s="7"/>
    </row>
    <row r="988" spans="1:23" ht="15.75" customHeight="1" x14ac:dyDescent="0.2">
      <c r="A988" s="7"/>
      <c r="B988" s="7"/>
      <c r="C988" s="7"/>
      <c r="D988" s="7"/>
      <c r="E988" s="7"/>
      <c r="F988" s="7"/>
      <c r="G988" s="7"/>
      <c r="H988" s="7"/>
      <c r="I988" s="7"/>
      <c r="J988" s="7"/>
      <c r="K988" s="7"/>
      <c r="L988" s="7"/>
      <c r="M988" s="7"/>
      <c r="N988" s="7"/>
      <c r="O988" s="7"/>
      <c r="P988" s="7"/>
      <c r="Q988" s="7"/>
      <c r="R988" s="7"/>
      <c r="S988" s="7"/>
      <c r="T988" s="7"/>
      <c r="U988" s="7"/>
      <c r="V988" s="7"/>
      <c r="W988" s="7"/>
    </row>
    <row r="989" spans="1:23" ht="15.75" customHeight="1" x14ac:dyDescent="0.2">
      <c r="A989" s="7"/>
      <c r="B989" s="7"/>
      <c r="C989" s="7"/>
      <c r="D989" s="7"/>
      <c r="E989" s="7"/>
      <c r="F989" s="7"/>
      <c r="G989" s="7"/>
      <c r="H989" s="7"/>
      <c r="I989" s="7"/>
      <c r="J989" s="7"/>
      <c r="K989" s="7"/>
      <c r="L989" s="7"/>
      <c r="M989" s="7"/>
      <c r="N989" s="7"/>
      <c r="O989" s="7"/>
      <c r="P989" s="7"/>
      <c r="Q989" s="7"/>
      <c r="R989" s="7"/>
      <c r="S989" s="7"/>
      <c r="T989" s="7"/>
      <c r="U989" s="7"/>
      <c r="V989" s="7"/>
      <c r="W989" s="7"/>
    </row>
    <row r="990" spans="1:23" ht="15.75" customHeight="1" x14ac:dyDescent="0.2">
      <c r="A990" s="7"/>
      <c r="B990" s="7"/>
      <c r="C990" s="7"/>
      <c r="D990" s="7"/>
      <c r="E990" s="7"/>
      <c r="F990" s="7"/>
      <c r="G990" s="7"/>
      <c r="H990" s="7"/>
      <c r="I990" s="7"/>
      <c r="J990" s="7"/>
      <c r="K990" s="7"/>
      <c r="L990" s="7"/>
      <c r="M990" s="7"/>
      <c r="N990" s="7"/>
      <c r="O990" s="7"/>
      <c r="P990" s="7"/>
      <c r="Q990" s="7"/>
      <c r="R990" s="7"/>
      <c r="S990" s="7"/>
      <c r="T990" s="7"/>
      <c r="U990" s="7"/>
      <c r="V990" s="7"/>
      <c r="W990" s="7"/>
    </row>
    <row r="991" spans="1:23" ht="15.75" customHeight="1" x14ac:dyDescent="0.2">
      <c r="A991" s="7"/>
      <c r="B991" s="7"/>
      <c r="C991" s="7"/>
      <c r="D991" s="7"/>
      <c r="E991" s="7"/>
      <c r="F991" s="7"/>
      <c r="G991" s="7"/>
      <c r="H991" s="7"/>
      <c r="I991" s="7"/>
      <c r="J991" s="7"/>
      <c r="K991" s="7"/>
      <c r="L991" s="7"/>
      <c r="M991" s="7"/>
      <c r="N991" s="7"/>
      <c r="O991" s="7"/>
      <c r="P991" s="7"/>
      <c r="Q991" s="7"/>
      <c r="R991" s="7"/>
      <c r="S991" s="7"/>
      <c r="T991" s="7"/>
      <c r="U991" s="7"/>
      <c r="V991" s="7"/>
      <c r="W991" s="7"/>
    </row>
    <row r="992" spans="1:23" ht="15.75" customHeight="1" x14ac:dyDescent="0.2">
      <c r="A992" s="7"/>
      <c r="B992" s="7"/>
      <c r="C992" s="7"/>
      <c r="D992" s="7"/>
      <c r="E992" s="7"/>
      <c r="F992" s="7"/>
      <c r="G992" s="7"/>
      <c r="H992" s="7"/>
      <c r="I992" s="7"/>
      <c r="J992" s="7"/>
      <c r="K992" s="7"/>
      <c r="L992" s="7"/>
      <c r="M992" s="7"/>
      <c r="N992" s="7"/>
      <c r="O992" s="7"/>
      <c r="P992" s="7"/>
      <c r="Q992" s="7"/>
      <c r="R992" s="7"/>
      <c r="S992" s="7"/>
      <c r="T992" s="7"/>
      <c r="U992" s="7"/>
      <c r="V992" s="7"/>
      <c r="W992" s="7"/>
    </row>
    <row r="993" spans="1:23" ht="15.75" customHeight="1" x14ac:dyDescent="0.2">
      <c r="A993" s="7"/>
      <c r="B993" s="7"/>
      <c r="C993" s="7"/>
      <c r="D993" s="7"/>
      <c r="E993" s="7"/>
      <c r="F993" s="7"/>
      <c r="G993" s="7"/>
      <c r="H993" s="7"/>
      <c r="I993" s="7"/>
      <c r="J993" s="7"/>
      <c r="K993" s="7"/>
      <c r="L993" s="7"/>
      <c r="M993" s="7"/>
      <c r="N993" s="7"/>
      <c r="O993" s="7"/>
      <c r="P993" s="7"/>
      <c r="Q993" s="7"/>
      <c r="R993" s="7"/>
      <c r="S993" s="7"/>
      <c r="T993" s="7"/>
      <c r="U993" s="7"/>
      <c r="V993" s="7"/>
      <c r="W993" s="7"/>
    </row>
    <row r="994" spans="1:23" ht="15.75" customHeight="1" x14ac:dyDescent="0.2">
      <c r="A994" s="7"/>
      <c r="B994" s="7"/>
      <c r="C994" s="7"/>
      <c r="D994" s="7"/>
      <c r="E994" s="7"/>
      <c r="F994" s="7"/>
      <c r="G994" s="7"/>
      <c r="H994" s="7"/>
      <c r="I994" s="7"/>
      <c r="J994" s="7"/>
      <c r="K994" s="7"/>
      <c r="L994" s="7"/>
      <c r="M994" s="7"/>
      <c r="N994" s="7"/>
      <c r="O994" s="7"/>
      <c r="P994" s="7"/>
      <c r="Q994" s="7"/>
      <c r="R994" s="7"/>
      <c r="S994" s="7"/>
      <c r="T994" s="7"/>
      <c r="U994" s="7"/>
      <c r="V994" s="7"/>
      <c r="W994" s="7"/>
    </row>
    <row r="995" spans="1:23" ht="15.75" customHeight="1" x14ac:dyDescent="0.2">
      <c r="A995" s="7"/>
      <c r="B995" s="7"/>
      <c r="C995" s="7"/>
      <c r="D995" s="7"/>
      <c r="E995" s="7"/>
      <c r="F995" s="7"/>
      <c r="G995" s="7"/>
      <c r="H995" s="7"/>
      <c r="I995" s="7"/>
      <c r="J995" s="7"/>
      <c r="K995" s="7"/>
      <c r="L995" s="7"/>
      <c r="M995" s="7"/>
      <c r="N995" s="7"/>
      <c r="O995" s="7"/>
      <c r="P995" s="7"/>
      <c r="Q995" s="7"/>
      <c r="R995" s="7"/>
      <c r="S995" s="7"/>
      <c r="T995" s="7"/>
      <c r="U995" s="7"/>
      <c r="V995" s="7"/>
      <c r="W995" s="7"/>
    </row>
    <row r="996" spans="1:23" ht="15.75" customHeight="1" x14ac:dyDescent="0.2">
      <c r="A996" s="7"/>
      <c r="B996" s="7"/>
      <c r="C996" s="7"/>
      <c r="D996" s="7"/>
      <c r="E996" s="7"/>
      <c r="F996" s="7"/>
      <c r="G996" s="7"/>
      <c r="H996" s="7"/>
      <c r="I996" s="7"/>
      <c r="J996" s="7"/>
      <c r="K996" s="7"/>
      <c r="L996" s="7"/>
      <c r="M996" s="7"/>
      <c r="N996" s="7"/>
      <c r="O996" s="7"/>
      <c r="P996" s="7"/>
      <c r="Q996" s="7"/>
      <c r="R996" s="7"/>
      <c r="S996" s="7"/>
      <c r="T996" s="7"/>
      <c r="U996" s="7"/>
      <c r="V996" s="7"/>
      <c r="W996" s="7"/>
    </row>
    <row r="997" spans="1:23" ht="15.75" customHeight="1" x14ac:dyDescent="0.2">
      <c r="A997" s="7"/>
      <c r="B997" s="7"/>
      <c r="C997" s="7"/>
      <c r="D997" s="7"/>
      <c r="E997" s="7"/>
      <c r="F997" s="7"/>
      <c r="G997" s="7"/>
      <c r="H997" s="7"/>
      <c r="I997" s="7"/>
      <c r="J997" s="7"/>
      <c r="K997" s="7"/>
      <c r="L997" s="7"/>
      <c r="M997" s="7"/>
      <c r="N997" s="7"/>
      <c r="O997" s="7"/>
      <c r="P997" s="7"/>
      <c r="Q997" s="7"/>
      <c r="R997" s="7"/>
      <c r="S997" s="7"/>
      <c r="T997" s="7"/>
      <c r="U997" s="7"/>
      <c r="V997" s="7"/>
      <c r="W997" s="7"/>
    </row>
    <row r="998" spans="1:23" ht="15.75" customHeight="1" x14ac:dyDescent="0.2">
      <c r="A998" s="7"/>
      <c r="B998" s="7"/>
      <c r="C998" s="7"/>
      <c r="D998" s="7"/>
      <c r="E998" s="7"/>
      <c r="F998" s="7"/>
      <c r="G998" s="7"/>
      <c r="H998" s="7"/>
      <c r="I998" s="7"/>
      <c r="J998" s="7"/>
      <c r="K998" s="7"/>
      <c r="L998" s="7"/>
      <c r="M998" s="7"/>
      <c r="N998" s="7"/>
      <c r="O998" s="7"/>
      <c r="P998" s="7"/>
      <c r="Q998" s="7"/>
      <c r="R998" s="7"/>
      <c r="S998" s="7"/>
      <c r="T998" s="7"/>
      <c r="U998" s="7"/>
      <c r="V998" s="7"/>
      <c r="W998" s="7"/>
    </row>
    <row r="999" spans="1:23" ht="15.75" customHeight="1" x14ac:dyDescent="0.2">
      <c r="A999" s="7"/>
      <c r="B999" s="7"/>
      <c r="C999" s="7"/>
      <c r="D999" s="7"/>
      <c r="E999" s="7"/>
      <c r="F999" s="7"/>
      <c r="G999" s="7"/>
      <c r="H999" s="7"/>
      <c r="I999" s="7"/>
      <c r="J999" s="7"/>
      <c r="K999" s="7"/>
      <c r="L999" s="7"/>
      <c r="M999" s="7"/>
      <c r="N999" s="7"/>
      <c r="O999" s="7"/>
      <c r="P999" s="7"/>
      <c r="Q999" s="7"/>
      <c r="R999" s="7"/>
      <c r="S999" s="7"/>
      <c r="T999" s="7"/>
      <c r="U999" s="7"/>
      <c r="V999" s="7"/>
      <c r="W999" s="7"/>
    </row>
    <row r="1000" spans="1:23" ht="15.75" customHeight="1" x14ac:dyDescent="0.2">
      <c r="A1000" s="7"/>
      <c r="B1000" s="7"/>
      <c r="C1000" s="7"/>
      <c r="D1000" s="7"/>
      <c r="E1000" s="7"/>
      <c r="F1000" s="7"/>
      <c r="G1000" s="7"/>
      <c r="H1000" s="7"/>
      <c r="I1000" s="7"/>
      <c r="J1000" s="7"/>
      <c r="K1000" s="7"/>
      <c r="L1000" s="7"/>
      <c r="M1000" s="7"/>
      <c r="N1000" s="7"/>
      <c r="O1000" s="7"/>
      <c r="P1000" s="7"/>
      <c r="Q1000" s="7"/>
      <c r="R1000" s="7"/>
      <c r="S1000" s="7"/>
      <c r="T1000" s="7"/>
      <c r="U1000" s="7"/>
      <c r="V1000" s="7"/>
      <c r="W1000" s="7"/>
    </row>
    <row r="1001" spans="1:23" ht="15.75" customHeight="1" x14ac:dyDescent="0.2">
      <c r="A1001" s="7"/>
      <c r="B1001" s="7"/>
      <c r="C1001" s="7"/>
      <c r="D1001" s="7"/>
      <c r="E1001" s="7"/>
      <c r="F1001" s="7"/>
      <c r="G1001" s="7"/>
      <c r="H1001" s="7"/>
      <c r="I1001" s="7"/>
      <c r="J1001" s="7"/>
      <c r="K1001" s="7"/>
      <c r="L1001" s="7"/>
      <c r="M1001" s="7"/>
      <c r="N1001" s="7"/>
      <c r="O1001" s="7"/>
      <c r="P1001" s="7"/>
      <c r="Q1001" s="7"/>
      <c r="R1001" s="7"/>
      <c r="S1001" s="7"/>
      <c r="T1001" s="7"/>
      <c r="U1001" s="7"/>
      <c r="V1001" s="7"/>
      <c r="W1001" s="7"/>
    </row>
    <row r="1002" spans="1:23" ht="15.75" customHeight="1" x14ac:dyDescent="0.2">
      <c r="A1002" s="7"/>
      <c r="B1002" s="7"/>
      <c r="C1002" s="7"/>
      <c r="D1002" s="7"/>
      <c r="E1002" s="7"/>
      <c r="F1002" s="7"/>
      <c r="G1002" s="7"/>
      <c r="H1002" s="7"/>
      <c r="I1002" s="7"/>
      <c r="J1002" s="7"/>
      <c r="K1002" s="7"/>
      <c r="L1002" s="7"/>
      <c r="M1002" s="7"/>
      <c r="N1002" s="7"/>
      <c r="O1002" s="7"/>
      <c r="P1002" s="7"/>
      <c r="Q1002" s="7"/>
      <c r="R1002" s="7"/>
      <c r="S1002" s="7"/>
      <c r="T1002" s="7"/>
      <c r="U1002" s="7"/>
      <c r="V1002" s="7"/>
      <c r="W1002" s="7"/>
    </row>
    <row r="1003" spans="1:23" ht="15.75" customHeight="1" x14ac:dyDescent="0.2">
      <c r="A1003" s="7"/>
      <c r="B1003" s="7"/>
      <c r="C1003" s="7"/>
      <c r="D1003" s="7"/>
      <c r="E1003" s="7"/>
      <c r="F1003" s="7"/>
      <c r="G1003" s="7"/>
      <c r="H1003" s="7"/>
      <c r="I1003" s="7"/>
      <c r="J1003" s="7"/>
      <c r="K1003" s="7"/>
      <c r="L1003" s="7"/>
      <c r="M1003" s="7"/>
      <c r="N1003" s="7"/>
      <c r="O1003" s="7"/>
      <c r="P1003" s="7"/>
      <c r="Q1003" s="7"/>
      <c r="R1003" s="7"/>
      <c r="S1003" s="7"/>
      <c r="T1003" s="7"/>
      <c r="U1003" s="7"/>
      <c r="V1003" s="7"/>
      <c r="W1003" s="7"/>
    </row>
    <row r="1004" spans="1:23" ht="15.75" customHeight="1" x14ac:dyDescent="0.2">
      <c r="A1004" s="7"/>
      <c r="B1004" s="7"/>
      <c r="C1004" s="7"/>
      <c r="D1004" s="7"/>
      <c r="E1004" s="7"/>
      <c r="F1004" s="7"/>
      <c r="G1004" s="7"/>
      <c r="H1004" s="7"/>
      <c r="I1004" s="7"/>
      <c r="J1004" s="7"/>
      <c r="K1004" s="7"/>
      <c r="L1004" s="7"/>
      <c r="M1004" s="7"/>
      <c r="N1004" s="7"/>
      <c r="O1004" s="7"/>
      <c r="P1004" s="7"/>
      <c r="Q1004" s="7"/>
      <c r="R1004" s="7"/>
      <c r="S1004" s="7"/>
      <c r="T1004" s="7"/>
      <c r="U1004" s="7"/>
      <c r="V1004" s="7"/>
      <c r="W1004" s="7"/>
    </row>
    <row r="1005" spans="1:23" ht="15.75" customHeight="1" x14ac:dyDescent="0.2">
      <c r="A1005" s="7"/>
      <c r="B1005" s="7"/>
      <c r="C1005" s="7"/>
      <c r="D1005" s="7"/>
      <c r="E1005" s="7"/>
      <c r="F1005" s="7"/>
      <c r="G1005" s="7"/>
      <c r="H1005" s="7"/>
      <c r="I1005" s="7"/>
      <c r="J1005" s="7"/>
      <c r="K1005" s="7"/>
      <c r="L1005" s="7"/>
      <c r="M1005" s="7"/>
      <c r="N1005" s="7"/>
      <c r="O1005" s="7"/>
      <c r="P1005" s="7"/>
      <c r="Q1005" s="7"/>
      <c r="R1005" s="7"/>
      <c r="S1005" s="7"/>
      <c r="T1005" s="7"/>
      <c r="U1005" s="7"/>
      <c r="V1005" s="7"/>
      <c r="W1005" s="7"/>
    </row>
  </sheetData>
  <autoFilter ref="B3:B37" xr:uid="{00000000-0001-0000-0200-000000000000}"/>
  <customSheetViews>
    <customSheetView guid="{E25B1015-AAD3-4A6E-93C9-94756C3AC2C0}" filter="1" showAutoFilter="1">
      <pageMargins left="0" right="0" top="0" bottom="0" header="0" footer="0"/>
      <autoFilter ref="G2:H239" xr:uid="{736F99E9-AE4D-448B-AC5F-4C8A5BE806CB}"/>
    </customSheetView>
  </customSheetViews>
  <mergeCells count="9">
    <mergeCell ref="H2:I2"/>
    <mergeCell ref="A2:C2"/>
    <mergeCell ref="N2:O2"/>
    <mergeCell ref="K2:L2"/>
    <mergeCell ref="S9:S11"/>
    <mergeCell ref="Q3:Q8"/>
    <mergeCell ref="R3:R8"/>
    <mergeCell ref="Q9:Q19"/>
    <mergeCell ref="R9:R19"/>
  </mergeCells>
  <hyperlinks>
    <hyperlink ref="D4" r:id="rId1" xr:uid="{00000000-0004-0000-0200-000000000000}"/>
    <hyperlink ref="D12" r:id="rId2" xr:uid="{00000000-0004-0000-0200-000001000000}"/>
    <hyperlink ref="D15" r:id="rId3" xr:uid="{00000000-0004-0000-0200-000002000000}"/>
    <hyperlink ref="D6" r:id="rId4" xr:uid="{00000000-0004-0000-0200-000003000000}"/>
    <hyperlink ref="D24" r:id="rId5" xr:uid="{00000000-0004-0000-0200-000004000000}"/>
    <hyperlink ref="D20" r:id="rId6" xr:uid="{00000000-0004-0000-0200-000005000000}"/>
    <hyperlink ref="D27" r:id="rId7" xr:uid="{00000000-0004-0000-0200-000006000000}"/>
    <hyperlink ref="D29" r:id="rId8" xr:uid="{00000000-0004-0000-0200-000007000000}"/>
  </hyperlinks>
  <pageMargins left="0.7" right="0.7" top="0.75" bottom="0.75" header="0" footer="0"/>
  <pageSetup orientation="landscape" r:id="rId9"/>
  <legacyDrawing r:id="rId1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Y1001"/>
  <sheetViews>
    <sheetView workbookViewId="0">
      <selection activeCell="J97" sqref="J97"/>
    </sheetView>
  </sheetViews>
  <sheetFormatPr baseColWidth="10" defaultColWidth="12.625" defaultRowHeight="12.75" x14ac:dyDescent="0.2"/>
  <cols>
    <col min="1" max="1" width="12.625" style="3"/>
    <col min="2" max="2" width="26.25" style="3" customWidth="1"/>
    <col min="3" max="3" width="4.125" style="3" customWidth="1"/>
    <col min="4" max="4" width="63.875" style="3" customWidth="1"/>
    <col min="5" max="5" width="4.125" style="3" customWidth="1"/>
    <col min="6" max="6" width="9.375" style="3" customWidth="1"/>
    <col min="7" max="7" width="116.75" style="3" customWidth="1"/>
    <col min="8" max="8" width="12.625" style="3" customWidth="1"/>
    <col min="9" max="9" width="14.125" style="3" customWidth="1"/>
    <col min="10" max="10" width="47.75" style="3" customWidth="1"/>
    <col min="11" max="11" width="73.25" style="3" customWidth="1"/>
    <col min="12" max="24" width="12.625" style="3" customWidth="1"/>
    <col min="25" max="16384" width="12.625" style="3"/>
  </cols>
  <sheetData>
    <row r="1" spans="1:25" ht="13.5" thickBot="1" x14ac:dyDescent="0.25">
      <c r="C1" s="7"/>
      <c r="D1" s="7"/>
      <c r="E1" s="7"/>
      <c r="F1" s="55"/>
      <c r="G1" s="56"/>
      <c r="H1" s="7"/>
      <c r="I1" s="57" t="s">
        <v>1675</v>
      </c>
      <c r="J1" s="58" t="s">
        <v>1676</v>
      </c>
      <c r="K1" s="59" t="s">
        <v>1677</v>
      </c>
      <c r="L1" s="7"/>
      <c r="M1" s="7"/>
      <c r="N1" s="7"/>
      <c r="O1" s="7"/>
      <c r="P1" s="7"/>
      <c r="Q1" s="7"/>
      <c r="R1" s="7"/>
      <c r="S1" s="7"/>
      <c r="T1" s="7"/>
      <c r="U1" s="7"/>
      <c r="V1" s="7"/>
      <c r="W1" s="7"/>
      <c r="X1" s="7"/>
      <c r="Y1" s="7"/>
    </row>
    <row r="2" spans="1:25" x14ac:dyDescent="0.2">
      <c r="A2" s="252" t="s">
        <v>1678</v>
      </c>
      <c r="B2" s="253"/>
      <c r="C2" s="7"/>
      <c r="D2" s="60" t="s">
        <v>1679</v>
      </c>
      <c r="E2" s="7"/>
      <c r="F2" s="61" t="s">
        <v>1680</v>
      </c>
      <c r="G2" s="62" t="s">
        <v>1681</v>
      </c>
      <c r="H2" s="7"/>
      <c r="I2" s="114"/>
      <c r="J2" s="115"/>
      <c r="K2" s="116" t="s">
        <v>57</v>
      </c>
      <c r="L2" s="7"/>
      <c r="M2" s="7"/>
      <c r="N2" s="7"/>
      <c r="O2" s="7"/>
      <c r="P2" s="7"/>
      <c r="Q2" s="7"/>
      <c r="R2" s="7"/>
      <c r="S2" s="7"/>
      <c r="T2" s="7"/>
      <c r="U2" s="7"/>
      <c r="V2" s="7"/>
      <c r="W2" s="7"/>
      <c r="X2" s="7"/>
      <c r="Y2" s="7"/>
    </row>
    <row r="3" spans="1:25" x14ac:dyDescent="0.2">
      <c r="A3" s="63" t="s">
        <v>227</v>
      </c>
      <c r="B3" s="64" t="s">
        <v>1682</v>
      </c>
      <c r="C3" s="7"/>
      <c r="D3" s="65" t="s">
        <v>51</v>
      </c>
      <c r="E3" s="7"/>
      <c r="F3" s="117">
        <v>1</v>
      </c>
      <c r="G3" s="118" t="s">
        <v>1683</v>
      </c>
      <c r="H3" s="7"/>
      <c r="I3" s="243">
        <v>9</v>
      </c>
      <c r="J3" s="249" t="s">
        <v>1684</v>
      </c>
      <c r="K3" s="8" t="s">
        <v>1685</v>
      </c>
      <c r="L3" s="7"/>
      <c r="M3" s="7"/>
      <c r="N3" s="7"/>
      <c r="O3" s="7"/>
      <c r="P3" s="7"/>
      <c r="Q3" s="7"/>
      <c r="R3" s="7"/>
      <c r="S3" s="7"/>
      <c r="T3" s="7"/>
      <c r="U3" s="7"/>
      <c r="V3" s="7"/>
      <c r="W3" s="7"/>
      <c r="X3" s="7"/>
      <c r="Y3" s="7"/>
    </row>
    <row r="4" spans="1:25" x14ac:dyDescent="0.2">
      <c r="A4" s="67">
        <v>1</v>
      </c>
      <c r="B4" s="68" t="s">
        <v>1686</v>
      </c>
      <c r="C4" s="7"/>
      <c r="D4" s="69" t="s">
        <v>1687</v>
      </c>
      <c r="E4" s="7"/>
      <c r="F4" s="117">
        <v>2</v>
      </c>
      <c r="G4" s="118" t="s">
        <v>1688</v>
      </c>
      <c r="H4" s="7"/>
      <c r="I4" s="244"/>
      <c r="J4" s="250"/>
      <c r="K4" s="8" t="s">
        <v>97</v>
      </c>
      <c r="L4" s="7"/>
      <c r="M4" s="7"/>
      <c r="N4" s="7"/>
      <c r="O4" s="7"/>
      <c r="P4" s="7"/>
      <c r="Q4" s="7"/>
      <c r="R4" s="7"/>
      <c r="S4" s="7"/>
      <c r="T4" s="7"/>
      <c r="U4" s="7"/>
      <c r="V4" s="7"/>
      <c r="W4" s="7"/>
      <c r="X4" s="7"/>
      <c r="Y4" s="7"/>
    </row>
    <row r="5" spans="1:25" ht="60.75" customHeight="1" x14ac:dyDescent="0.2">
      <c r="A5" s="67">
        <v>2</v>
      </c>
      <c r="B5" s="70" t="s">
        <v>1689</v>
      </c>
      <c r="C5" s="7"/>
      <c r="D5" s="69" t="s">
        <v>1690</v>
      </c>
      <c r="E5" s="7"/>
      <c r="F5" s="117">
        <v>3</v>
      </c>
      <c r="G5" s="118" t="s">
        <v>1691</v>
      </c>
      <c r="H5" s="7"/>
      <c r="I5" s="245"/>
      <c r="J5" s="251"/>
      <c r="K5" s="8" t="s">
        <v>1692</v>
      </c>
      <c r="L5" s="7"/>
      <c r="M5" s="7"/>
      <c r="N5" s="7"/>
      <c r="O5" s="7"/>
      <c r="P5" s="7"/>
      <c r="Q5" s="7"/>
      <c r="R5" s="7"/>
      <c r="S5" s="7"/>
      <c r="T5" s="7"/>
      <c r="U5" s="7"/>
      <c r="V5" s="7"/>
      <c r="W5" s="7"/>
      <c r="X5" s="7"/>
      <c r="Y5" s="7"/>
    </row>
    <row r="6" spans="1:25" ht="26.25" thickBot="1" x14ac:dyDescent="0.25">
      <c r="A6" s="67">
        <v>3</v>
      </c>
      <c r="B6" s="68" t="s">
        <v>1693</v>
      </c>
      <c r="C6" s="7"/>
      <c r="D6" s="71" t="s">
        <v>34</v>
      </c>
      <c r="E6" s="7"/>
      <c r="F6" s="117">
        <v>4</v>
      </c>
      <c r="G6" s="118" t="s">
        <v>1694</v>
      </c>
      <c r="H6" s="7"/>
      <c r="I6" s="243">
        <v>18</v>
      </c>
      <c r="J6" s="249" t="s">
        <v>1695</v>
      </c>
      <c r="K6" s="146" t="s">
        <v>81</v>
      </c>
      <c r="L6" s="7"/>
      <c r="M6" s="7"/>
      <c r="N6" s="7"/>
      <c r="O6" s="7"/>
      <c r="P6" s="7"/>
      <c r="Q6" s="7"/>
      <c r="R6" s="7"/>
      <c r="S6" s="7"/>
      <c r="T6" s="7"/>
      <c r="U6" s="7"/>
      <c r="V6" s="7"/>
      <c r="W6" s="7"/>
      <c r="X6" s="7"/>
      <c r="Y6" s="7"/>
    </row>
    <row r="7" spans="1:25" ht="38.25" x14ac:dyDescent="0.2">
      <c r="A7" s="67">
        <v>4</v>
      </c>
      <c r="B7" s="68" t="s">
        <v>1696</v>
      </c>
      <c r="C7" s="7"/>
      <c r="E7" s="7"/>
      <c r="F7" s="117">
        <v>5</v>
      </c>
      <c r="G7" s="144" t="s">
        <v>1695</v>
      </c>
      <c r="H7" s="7"/>
      <c r="I7" s="244"/>
      <c r="J7" s="250"/>
      <c r="K7" s="146" t="s">
        <v>1697</v>
      </c>
      <c r="L7" s="7"/>
      <c r="M7" s="7"/>
      <c r="N7" s="7"/>
      <c r="O7" s="7"/>
      <c r="P7" s="7"/>
      <c r="Q7" s="7"/>
      <c r="R7" s="7"/>
      <c r="S7" s="7"/>
      <c r="T7" s="7"/>
      <c r="U7" s="7"/>
      <c r="V7" s="7"/>
      <c r="W7" s="7"/>
      <c r="X7" s="7"/>
      <c r="Y7" s="7"/>
    </row>
    <row r="8" spans="1:25" ht="25.5" x14ac:dyDescent="0.2">
      <c r="A8" s="67">
        <v>5</v>
      </c>
      <c r="B8" s="68" t="s">
        <v>1698</v>
      </c>
      <c r="C8" s="7"/>
      <c r="E8" s="7"/>
      <c r="F8" s="117">
        <v>6</v>
      </c>
      <c r="G8" s="144" t="s">
        <v>1699</v>
      </c>
      <c r="H8" s="7"/>
      <c r="I8" s="244"/>
      <c r="J8" s="250"/>
      <c r="K8" s="146" t="s">
        <v>1700</v>
      </c>
      <c r="L8" s="7"/>
      <c r="M8" s="7"/>
      <c r="N8" s="7"/>
      <c r="O8" s="7"/>
      <c r="P8" s="7"/>
      <c r="Q8" s="7"/>
      <c r="R8" s="7"/>
      <c r="S8" s="7"/>
      <c r="T8" s="7"/>
      <c r="U8" s="7"/>
      <c r="V8" s="7"/>
      <c r="W8" s="7"/>
      <c r="X8" s="7"/>
      <c r="Y8" s="7"/>
    </row>
    <row r="9" spans="1:25" x14ac:dyDescent="0.2">
      <c r="A9" s="67">
        <v>6</v>
      </c>
      <c r="B9" s="68" t="s">
        <v>1701</v>
      </c>
      <c r="C9" s="7"/>
      <c r="E9" s="7"/>
      <c r="F9" s="117">
        <v>7</v>
      </c>
      <c r="G9" s="118" t="s">
        <v>1702</v>
      </c>
      <c r="H9" s="7"/>
      <c r="I9" s="244"/>
      <c r="J9" s="250"/>
      <c r="K9" s="8" t="s">
        <v>1703</v>
      </c>
      <c r="L9" s="7"/>
      <c r="M9" s="7"/>
      <c r="N9" s="7"/>
      <c r="O9" s="7"/>
      <c r="P9" s="7"/>
      <c r="Q9" s="7"/>
      <c r="R9" s="7"/>
      <c r="S9" s="7"/>
      <c r="T9" s="7"/>
      <c r="U9" s="7"/>
      <c r="V9" s="7"/>
      <c r="W9" s="7"/>
      <c r="X9" s="7"/>
      <c r="Y9" s="7"/>
    </row>
    <row r="10" spans="1:25" ht="25.5" x14ac:dyDescent="0.2">
      <c r="A10" s="67">
        <v>7</v>
      </c>
      <c r="B10" s="68" t="s">
        <v>1704</v>
      </c>
      <c r="C10" s="7"/>
      <c r="E10" s="7"/>
      <c r="F10" s="117">
        <v>8</v>
      </c>
      <c r="G10" s="144" t="s">
        <v>1705</v>
      </c>
      <c r="H10" s="7"/>
      <c r="I10" s="244"/>
      <c r="J10" s="250"/>
      <c r="K10" s="146" t="s">
        <v>74</v>
      </c>
      <c r="L10" s="7"/>
      <c r="M10" s="7"/>
      <c r="N10" s="7"/>
      <c r="O10" s="7"/>
      <c r="P10" s="7"/>
      <c r="Q10" s="7"/>
      <c r="R10" s="7"/>
      <c r="S10" s="7"/>
      <c r="T10" s="7"/>
      <c r="U10" s="7"/>
      <c r="V10" s="7"/>
      <c r="W10" s="7"/>
      <c r="X10" s="7"/>
      <c r="Y10" s="7"/>
    </row>
    <row r="11" spans="1:25" ht="25.5" x14ac:dyDescent="0.2">
      <c r="A11" s="67">
        <v>8</v>
      </c>
      <c r="B11" s="68" t="s">
        <v>1706</v>
      </c>
      <c r="C11" s="7"/>
      <c r="E11" s="7"/>
      <c r="F11" s="117">
        <v>9</v>
      </c>
      <c r="G11" s="144" t="s">
        <v>1707</v>
      </c>
      <c r="H11" s="7"/>
      <c r="I11" s="245"/>
      <c r="J11" s="251"/>
      <c r="K11" s="146" t="s">
        <v>1708</v>
      </c>
      <c r="L11" s="7"/>
      <c r="M11" s="7"/>
      <c r="N11" s="7"/>
      <c r="O11" s="7"/>
      <c r="P11" s="7"/>
      <c r="Q11" s="7"/>
      <c r="R11" s="7"/>
      <c r="S11" s="7"/>
      <c r="T11" s="7"/>
      <c r="U11" s="7"/>
      <c r="V11" s="7"/>
      <c r="W11" s="7"/>
      <c r="X11" s="7"/>
      <c r="Y11" s="7"/>
    </row>
    <row r="12" spans="1:25" ht="25.5" x14ac:dyDescent="0.2">
      <c r="A12" s="67">
        <v>9</v>
      </c>
      <c r="B12" s="68" t="s">
        <v>1709</v>
      </c>
      <c r="C12" s="7"/>
      <c r="E12" s="7"/>
      <c r="F12" s="117">
        <v>10</v>
      </c>
      <c r="G12" s="144" t="s">
        <v>1710</v>
      </c>
      <c r="H12" s="7"/>
      <c r="I12" s="243">
        <v>22</v>
      </c>
      <c r="J12" s="249" t="s">
        <v>1711</v>
      </c>
      <c r="K12" s="8" t="s">
        <v>1712</v>
      </c>
      <c r="L12" s="7"/>
      <c r="M12" s="7"/>
      <c r="N12" s="7"/>
      <c r="O12" s="7"/>
      <c r="P12" s="7"/>
      <c r="Q12" s="7"/>
      <c r="R12" s="7"/>
      <c r="S12" s="7"/>
      <c r="T12" s="7"/>
      <c r="U12" s="7"/>
      <c r="V12" s="7"/>
      <c r="W12" s="7"/>
      <c r="X12" s="7"/>
      <c r="Y12" s="7"/>
    </row>
    <row r="13" spans="1:25" x14ac:dyDescent="0.2">
      <c r="A13" s="67">
        <v>10</v>
      </c>
      <c r="B13" s="68" t="s">
        <v>1713</v>
      </c>
      <c r="C13" s="7"/>
      <c r="E13" s="7"/>
      <c r="F13" s="117">
        <v>11</v>
      </c>
      <c r="G13" s="118" t="s">
        <v>1714</v>
      </c>
      <c r="H13" s="7"/>
      <c r="I13" s="245"/>
      <c r="J13" s="251"/>
      <c r="K13" s="8" t="s">
        <v>1715</v>
      </c>
      <c r="L13" s="7"/>
      <c r="M13" s="7"/>
      <c r="N13" s="7"/>
      <c r="O13" s="7"/>
      <c r="P13" s="7"/>
      <c r="Q13" s="7"/>
      <c r="R13" s="7"/>
      <c r="S13" s="7"/>
      <c r="T13" s="7"/>
      <c r="U13" s="7"/>
      <c r="V13" s="7"/>
      <c r="W13" s="7"/>
      <c r="X13" s="7"/>
      <c r="Y13" s="7"/>
    </row>
    <row r="14" spans="1:25" x14ac:dyDescent="0.2">
      <c r="A14" s="67">
        <v>11</v>
      </c>
      <c r="B14" s="70" t="s">
        <v>1716</v>
      </c>
      <c r="C14" s="7"/>
      <c r="E14" s="7"/>
      <c r="F14" s="117">
        <v>12</v>
      </c>
      <c r="G14" s="144" t="s">
        <v>1711</v>
      </c>
      <c r="H14" s="7"/>
      <c r="I14" s="243">
        <v>27</v>
      </c>
      <c r="J14" s="249" t="s">
        <v>1717</v>
      </c>
      <c r="K14" s="8" t="s">
        <v>1718</v>
      </c>
      <c r="L14" s="7"/>
      <c r="M14" s="7"/>
      <c r="N14" s="7"/>
      <c r="O14" s="7"/>
      <c r="P14" s="7"/>
      <c r="Q14" s="7"/>
      <c r="R14" s="7"/>
      <c r="S14" s="7"/>
      <c r="T14" s="7"/>
      <c r="U14" s="7"/>
      <c r="V14" s="7"/>
      <c r="W14" s="7"/>
      <c r="X14" s="7"/>
      <c r="Y14" s="7"/>
    </row>
    <row r="15" spans="1:25" x14ac:dyDescent="0.2">
      <c r="A15" s="67">
        <v>12</v>
      </c>
      <c r="B15" s="68" t="s">
        <v>1719</v>
      </c>
      <c r="C15" s="7"/>
      <c r="E15" s="7"/>
      <c r="F15" s="117">
        <v>13</v>
      </c>
      <c r="G15" s="118" t="s">
        <v>1717</v>
      </c>
      <c r="H15" s="7"/>
      <c r="I15" s="245"/>
      <c r="J15" s="251"/>
      <c r="K15" s="8" t="s">
        <v>1720</v>
      </c>
      <c r="L15" s="7"/>
      <c r="M15" s="7"/>
      <c r="N15" s="7"/>
      <c r="O15" s="7"/>
      <c r="P15" s="7"/>
      <c r="Q15" s="7"/>
      <c r="R15" s="7"/>
      <c r="S15" s="7"/>
      <c r="T15" s="7"/>
      <c r="U15" s="7"/>
      <c r="V15" s="7"/>
      <c r="W15" s="7"/>
      <c r="X15" s="7"/>
      <c r="Y15" s="7"/>
    </row>
    <row r="16" spans="1:25" ht="25.5" x14ac:dyDescent="0.2">
      <c r="A16" s="67">
        <v>13</v>
      </c>
      <c r="B16" s="68" t="s">
        <v>1721</v>
      </c>
      <c r="C16" s="7"/>
      <c r="E16" s="7"/>
      <c r="F16" s="117">
        <v>14</v>
      </c>
      <c r="G16" s="118" t="s">
        <v>1722</v>
      </c>
      <c r="H16" s="7"/>
      <c r="I16" s="243">
        <v>34</v>
      </c>
      <c r="J16" s="249" t="s">
        <v>1723</v>
      </c>
      <c r="K16" s="146" t="s">
        <v>1724</v>
      </c>
      <c r="L16" s="7"/>
      <c r="M16" s="7"/>
      <c r="N16" s="7"/>
      <c r="O16" s="7"/>
      <c r="P16" s="7"/>
      <c r="Q16" s="7"/>
      <c r="R16" s="7"/>
      <c r="S16" s="7"/>
      <c r="T16" s="7"/>
      <c r="U16" s="7"/>
      <c r="V16" s="7"/>
      <c r="W16" s="7"/>
      <c r="X16" s="7"/>
      <c r="Y16" s="7"/>
    </row>
    <row r="17" spans="1:25" ht="25.5" x14ac:dyDescent="0.2">
      <c r="A17" s="67">
        <v>14</v>
      </c>
      <c r="B17" s="68" t="s">
        <v>1725</v>
      </c>
      <c r="C17" s="7"/>
      <c r="E17" s="7"/>
      <c r="F17" s="117">
        <v>15</v>
      </c>
      <c r="G17" s="118" t="s">
        <v>1726</v>
      </c>
      <c r="H17" s="7"/>
      <c r="I17" s="244"/>
      <c r="J17" s="250"/>
      <c r="K17" s="146" t="s">
        <v>195</v>
      </c>
      <c r="L17" s="7"/>
      <c r="M17" s="7"/>
      <c r="N17" s="7"/>
      <c r="O17" s="7"/>
      <c r="P17" s="7"/>
      <c r="Q17" s="7"/>
      <c r="R17" s="7"/>
      <c r="S17" s="7"/>
      <c r="T17" s="7"/>
      <c r="U17" s="7"/>
      <c r="V17" s="7"/>
      <c r="W17" s="7"/>
      <c r="X17" s="7"/>
      <c r="Y17" s="7"/>
    </row>
    <row r="18" spans="1:25" ht="25.5" x14ac:dyDescent="0.2">
      <c r="A18" s="67">
        <v>15</v>
      </c>
      <c r="B18" s="68" t="s">
        <v>1727</v>
      </c>
      <c r="C18" s="7"/>
      <c r="E18" s="7"/>
      <c r="F18" s="117">
        <v>16</v>
      </c>
      <c r="G18" s="118" t="s">
        <v>1728</v>
      </c>
      <c r="H18" s="7"/>
      <c r="I18" s="245"/>
      <c r="J18" s="251"/>
      <c r="K18" s="146" t="s">
        <v>1729</v>
      </c>
      <c r="L18" s="7"/>
      <c r="M18" s="7"/>
      <c r="N18" s="7"/>
      <c r="O18" s="7"/>
      <c r="P18" s="7"/>
      <c r="Q18" s="7"/>
      <c r="R18" s="7"/>
      <c r="S18" s="7"/>
      <c r="T18" s="7"/>
      <c r="U18" s="7"/>
      <c r="V18" s="7"/>
      <c r="W18" s="7"/>
      <c r="X18" s="7"/>
      <c r="Y18" s="7"/>
    </row>
    <row r="19" spans="1:25" x14ac:dyDescent="0.2">
      <c r="A19" s="67">
        <v>16</v>
      </c>
      <c r="B19" s="68" t="s">
        <v>1730</v>
      </c>
      <c r="C19" s="7"/>
      <c r="E19" s="7"/>
      <c r="F19" s="117">
        <v>17</v>
      </c>
      <c r="G19" s="118" t="s">
        <v>1731</v>
      </c>
      <c r="H19" s="7"/>
      <c r="I19" s="243">
        <v>39</v>
      </c>
      <c r="J19" s="249" t="s">
        <v>1732</v>
      </c>
      <c r="K19" s="8" t="s">
        <v>1733</v>
      </c>
      <c r="L19" s="7"/>
      <c r="M19" s="7"/>
      <c r="N19" s="7"/>
      <c r="O19" s="7"/>
      <c r="P19" s="7"/>
      <c r="Q19" s="7"/>
      <c r="R19" s="7"/>
      <c r="S19" s="7"/>
      <c r="T19" s="7"/>
      <c r="U19" s="7"/>
      <c r="V19" s="7"/>
      <c r="W19" s="7"/>
      <c r="X19" s="7"/>
      <c r="Y19" s="7"/>
    </row>
    <row r="20" spans="1:25" x14ac:dyDescent="0.2">
      <c r="A20" s="67">
        <v>17</v>
      </c>
      <c r="B20" s="68" t="s">
        <v>1734</v>
      </c>
      <c r="C20" s="7"/>
      <c r="E20" s="7"/>
      <c r="F20" s="117">
        <v>18</v>
      </c>
      <c r="G20" s="118" t="s">
        <v>1735</v>
      </c>
      <c r="H20" s="7"/>
      <c r="I20" s="244"/>
      <c r="J20" s="250"/>
      <c r="K20" s="8" t="s">
        <v>1736</v>
      </c>
      <c r="L20" s="7"/>
      <c r="M20" s="7"/>
      <c r="N20" s="7"/>
      <c r="O20" s="7"/>
      <c r="P20" s="7"/>
      <c r="Q20" s="7"/>
      <c r="R20" s="7"/>
      <c r="S20" s="7"/>
      <c r="T20" s="7"/>
      <c r="U20" s="7"/>
      <c r="V20" s="7"/>
      <c r="W20" s="7"/>
      <c r="X20" s="7"/>
      <c r="Y20" s="7"/>
    </row>
    <row r="21" spans="1:25" x14ac:dyDescent="0.2">
      <c r="A21" s="67">
        <v>18</v>
      </c>
      <c r="B21" s="70" t="s">
        <v>33</v>
      </c>
      <c r="C21" s="7"/>
      <c r="E21" s="7"/>
      <c r="F21" s="117">
        <v>19</v>
      </c>
      <c r="G21" s="144" t="s">
        <v>1737</v>
      </c>
      <c r="H21" s="7"/>
      <c r="I21" s="245"/>
      <c r="J21" s="251"/>
      <c r="K21" s="8" t="s">
        <v>1738</v>
      </c>
      <c r="L21" s="7"/>
      <c r="M21" s="7"/>
      <c r="N21" s="7"/>
      <c r="O21" s="7"/>
      <c r="P21" s="7"/>
      <c r="Q21" s="7"/>
      <c r="R21" s="7"/>
      <c r="S21" s="7"/>
      <c r="T21" s="7"/>
      <c r="U21" s="7"/>
      <c r="V21" s="7"/>
      <c r="W21" s="7"/>
      <c r="X21" s="7"/>
      <c r="Y21" s="7"/>
    </row>
    <row r="22" spans="1:25" x14ac:dyDescent="0.2">
      <c r="A22" s="67">
        <v>19</v>
      </c>
      <c r="B22" s="68" t="s">
        <v>439</v>
      </c>
      <c r="C22" s="7"/>
      <c r="E22" s="7"/>
      <c r="F22" s="117">
        <v>20</v>
      </c>
      <c r="G22" s="118" t="s">
        <v>1739</v>
      </c>
      <c r="H22" s="7"/>
      <c r="I22" s="243">
        <v>44</v>
      </c>
      <c r="J22" s="246" t="s">
        <v>1740</v>
      </c>
      <c r="K22" s="8" t="s">
        <v>187</v>
      </c>
      <c r="L22" s="7"/>
      <c r="M22" s="7"/>
      <c r="N22" s="7"/>
      <c r="O22" s="7"/>
      <c r="P22" s="7"/>
      <c r="Q22" s="7"/>
      <c r="R22" s="7"/>
      <c r="S22" s="7"/>
      <c r="T22" s="7"/>
      <c r="U22" s="7"/>
      <c r="V22" s="7"/>
      <c r="W22" s="7"/>
      <c r="X22" s="7"/>
      <c r="Y22" s="7"/>
    </row>
    <row r="23" spans="1:25" x14ac:dyDescent="0.2">
      <c r="A23" s="67">
        <v>20</v>
      </c>
      <c r="B23" s="70" t="s">
        <v>1741</v>
      </c>
      <c r="C23" s="7"/>
      <c r="E23" s="7"/>
      <c r="F23" s="117">
        <v>21</v>
      </c>
      <c r="G23" s="118" t="s">
        <v>1742</v>
      </c>
      <c r="H23" s="7"/>
      <c r="I23" s="244"/>
      <c r="J23" s="247"/>
      <c r="K23" s="8" t="s">
        <v>1743</v>
      </c>
      <c r="L23" s="7"/>
      <c r="M23" s="7"/>
      <c r="N23" s="7"/>
      <c r="O23" s="7"/>
      <c r="P23" s="7"/>
      <c r="Q23" s="7"/>
      <c r="R23" s="7"/>
      <c r="S23" s="7"/>
      <c r="T23" s="7"/>
      <c r="U23" s="7"/>
      <c r="V23" s="7"/>
      <c r="W23" s="7"/>
      <c r="X23" s="7"/>
      <c r="Y23" s="7"/>
    </row>
    <row r="24" spans="1:25" x14ac:dyDescent="0.2">
      <c r="A24" s="67">
        <v>21</v>
      </c>
      <c r="B24" s="70" t="s">
        <v>1343</v>
      </c>
      <c r="C24" s="7"/>
      <c r="E24" s="7"/>
      <c r="F24" s="117">
        <v>22</v>
      </c>
      <c r="G24" s="144" t="s">
        <v>1744</v>
      </c>
      <c r="H24" s="7"/>
      <c r="I24" s="244"/>
      <c r="J24" s="247"/>
      <c r="K24" s="8" t="s">
        <v>189</v>
      </c>
      <c r="L24" s="7"/>
      <c r="M24" s="7"/>
      <c r="N24" s="7"/>
      <c r="O24" s="7"/>
      <c r="P24" s="7"/>
      <c r="Q24" s="7"/>
      <c r="R24" s="7"/>
      <c r="S24" s="7"/>
      <c r="T24" s="7"/>
      <c r="U24" s="7"/>
      <c r="V24" s="7"/>
      <c r="W24" s="7"/>
      <c r="X24" s="7"/>
      <c r="Y24" s="7"/>
    </row>
    <row r="25" spans="1:25" x14ac:dyDescent="0.2">
      <c r="A25" s="67">
        <v>22</v>
      </c>
      <c r="B25" s="70" t="s">
        <v>1745</v>
      </c>
      <c r="C25" s="7"/>
      <c r="F25" s="117">
        <v>23</v>
      </c>
      <c r="G25" s="118" t="s">
        <v>1746</v>
      </c>
      <c r="H25" s="7"/>
      <c r="I25" s="244"/>
      <c r="J25" s="247"/>
      <c r="K25" s="8" t="s">
        <v>188</v>
      </c>
      <c r="L25" s="7"/>
      <c r="M25" s="7"/>
      <c r="N25" s="7"/>
      <c r="O25" s="7"/>
      <c r="P25" s="7"/>
      <c r="Q25" s="7"/>
      <c r="R25" s="7"/>
      <c r="S25" s="7"/>
      <c r="T25" s="7"/>
      <c r="U25" s="7"/>
      <c r="V25" s="7"/>
      <c r="W25" s="7"/>
      <c r="X25" s="7"/>
      <c r="Y25" s="7"/>
    </row>
    <row r="26" spans="1:25" x14ac:dyDescent="0.2">
      <c r="A26" s="67">
        <v>23</v>
      </c>
      <c r="B26" s="68" t="s">
        <v>1303</v>
      </c>
      <c r="C26" s="7"/>
      <c r="E26" s="7"/>
      <c r="F26" s="117">
        <v>24</v>
      </c>
      <c r="G26" s="118" t="s">
        <v>1747</v>
      </c>
      <c r="H26" s="7"/>
      <c r="I26" s="245"/>
      <c r="J26" s="248"/>
      <c r="K26" s="8" t="s">
        <v>190</v>
      </c>
      <c r="L26" s="7"/>
      <c r="M26" s="7"/>
      <c r="N26" s="7"/>
      <c r="O26" s="7"/>
      <c r="P26" s="7"/>
      <c r="Q26" s="7"/>
      <c r="R26" s="7"/>
      <c r="S26" s="7"/>
      <c r="T26" s="7"/>
      <c r="U26" s="7"/>
      <c r="V26" s="7"/>
      <c r="W26" s="7"/>
      <c r="X26" s="7"/>
      <c r="Y26" s="7"/>
    </row>
    <row r="27" spans="1:25" x14ac:dyDescent="0.2">
      <c r="A27" s="67">
        <v>24</v>
      </c>
      <c r="B27" s="68" t="s">
        <v>1748</v>
      </c>
      <c r="C27" s="7"/>
      <c r="E27" s="7"/>
      <c r="F27" s="117">
        <v>25</v>
      </c>
      <c r="G27" s="118" t="s">
        <v>1749</v>
      </c>
      <c r="H27" s="7"/>
      <c r="I27" s="243">
        <v>60</v>
      </c>
      <c r="J27" s="246" t="s">
        <v>1746</v>
      </c>
      <c r="K27" s="8" t="s">
        <v>203</v>
      </c>
      <c r="L27" s="7"/>
      <c r="M27" s="7"/>
      <c r="N27" s="7"/>
      <c r="O27" s="7"/>
      <c r="P27" s="7"/>
      <c r="Q27" s="7"/>
      <c r="R27" s="7"/>
      <c r="S27" s="7"/>
      <c r="T27" s="7"/>
      <c r="U27" s="7"/>
      <c r="V27" s="7"/>
      <c r="W27" s="7"/>
      <c r="X27" s="7"/>
      <c r="Y27" s="7"/>
    </row>
    <row r="28" spans="1:25" x14ac:dyDescent="0.2">
      <c r="A28" s="67">
        <v>25</v>
      </c>
      <c r="B28" s="70" t="s">
        <v>1314</v>
      </c>
      <c r="C28" s="7"/>
      <c r="E28" s="7"/>
      <c r="F28" s="117">
        <v>26</v>
      </c>
      <c r="G28" s="118" t="s">
        <v>1740</v>
      </c>
      <c r="H28" s="7"/>
      <c r="I28" s="244"/>
      <c r="J28" s="247"/>
      <c r="K28" s="8" t="s">
        <v>1750</v>
      </c>
      <c r="L28" s="7"/>
      <c r="M28" s="7"/>
      <c r="N28" s="7"/>
      <c r="O28" s="7"/>
      <c r="P28" s="7"/>
      <c r="Q28" s="7"/>
      <c r="R28" s="7"/>
      <c r="S28" s="7"/>
      <c r="T28" s="7"/>
      <c r="U28" s="7"/>
      <c r="V28" s="7"/>
      <c r="W28" s="7"/>
      <c r="X28" s="7"/>
      <c r="Y28" s="7"/>
    </row>
    <row r="29" spans="1:25" ht="13.5" thickBot="1" x14ac:dyDescent="0.25">
      <c r="A29" s="67">
        <v>26</v>
      </c>
      <c r="B29" s="70" t="s">
        <v>1056</v>
      </c>
      <c r="C29" s="7"/>
      <c r="E29" s="7"/>
      <c r="F29" s="120">
        <v>27</v>
      </c>
      <c r="G29" s="119" t="s">
        <v>1751</v>
      </c>
      <c r="H29" s="7"/>
      <c r="I29" s="244"/>
      <c r="J29" s="247"/>
      <c r="K29" s="8" t="s">
        <v>1752</v>
      </c>
      <c r="L29" s="7"/>
      <c r="M29" s="7"/>
      <c r="N29" s="7"/>
      <c r="O29" s="7"/>
      <c r="P29" s="7"/>
      <c r="Q29" s="7"/>
      <c r="R29" s="7"/>
      <c r="S29" s="7"/>
      <c r="T29" s="7"/>
      <c r="U29" s="7"/>
      <c r="V29" s="7"/>
      <c r="W29" s="7"/>
      <c r="X29" s="7"/>
      <c r="Y29" s="7"/>
    </row>
    <row r="30" spans="1:25" x14ac:dyDescent="0.2">
      <c r="A30" s="67">
        <v>27</v>
      </c>
      <c r="B30" s="70" t="s">
        <v>673</v>
      </c>
      <c r="C30" s="7"/>
      <c r="E30" s="7"/>
      <c r="F30" s="123">
        <v>28</v>
      </c>
      <c r="G30" s="121" t="s">
        <v>1753</v>
      </c>
      <c r="H30" s="7"/>
      <c r="I30" s="244"/>
      <c r="J30" s="247"/>
      <c r="K30" s="8" t="s">
        <v>1754</v>
      </c>
      <c r="L30" s="7"/>
      <c r="M30" s="7"/>
      <c r="N30" s="7"/>
      <c r="O30" s="7"/>
      <c r="P30" s="7"/>
      <c r="Q30" s="7"/>
      <c r="R30" s="7"/>
      <c r="S30" s="7"/>
      <c r="T30" s="7"/>
      <c r="U30" s="7"/>
      <c r="V30" s="7"/>
      <c r="W30" s="7"/>
      <c r="X30" s="7"/>
      <c r="Y30" s="7"/>
    </row>
    <row r="31" spans="1:25" x14ac:dyDescent="0.2">
      <c r="A31" s="67">
        <v>28</v>
      </c>
      <c r="B31" s="68" t="s">
        <v>1755</v>
      </c>
      <c r="C31" s="7"/>
      <c r="E31" s="7"/>
      <c r="F31" s="80">
        <v>29</v>
      </c>
      <c r="G31" s="122" t="s">
        <v>1756</v>
      </c>
      <c r="H31" s="7"/>
      <c r="I31" s="245"/>
      <c r="J31" s="248"/>
      <c r="K31" s="8" t="s">
        <v>1757</v>
      </c>
      <c r="L31" s="7"/>
      <c r="M31" s="7"/>
      <c r="N31" s="7"/>
      <c r="O31" s="7"/>
      <c r="P31" s="7"/>
      <c r="Q31" s="7"/>
      <c r="R31" s="7"/>
      <c r="S31" s="7"/>
      <c r="T31" s="7"/>
      <c r="U31" s="7"/>
      <c r="V31" s="7"/>
      <c r="W31" s="7"/>
      <c r="X31" s="7"/>
      <c r="Y31" s="7"/>
    </row>
    <row r="32" spans="1:25" x14ac:dyDescent="0.2">
      <c r="A32" s="67">
        <v>29</v>
      </c>
      <c r="B32" s="70" t="s">
        <v>43</v>
      </c>
      <c r="C32" s="7"/>
      <c r="E32" s="7"/>
      <c r="F32" s="80">
        <v>30</v>
      </c>
      <c r="G32" s="122" t="s">
        <v>1758</v>
      </c>
      <c r="H32" s="7"/>
      <c r="I32" s="243">
        <v>66</v>
      </c>
      <c r="J32" s="249" t="s">
        <v>1759</v>
      </c>
      <c r="K32" s="8" t="s">
        <v>89</v>
      </c>
      <c r="L32" s="7"/>
      <c r="M32" s="7"/>
      <c r="N32" s="7"/>
      <c r="O32" s="7"/>
      <c r="P32" s="7"/>
      <c r="Q32" s="7"/>
      <c r="R32" s="7"/>
      <c r="S32" s="7"/>
      <c r="T32" s="7"/>
      <c r="U32" s="7"/>
      <c r="V32" s="7"/>
      <c r="W32" s="7"/>
      <c r="X32" s="7"/>
      <c r="Y32" s="7"/>
    </row>
    <row r="33" spans="1:25" x14ac:dyDescent="0.2">
      <c r="A33" s="67">
        <v>30</v>
      </c>
      <c r="B33" s="68" t="s">
        <v>453</v>
      </c>
      <c r="C33" s="7"/>
      <c r="E33" s="7"/>
      <c r="F33" s="80">
        <v>31</v>
      </c>
      <c r="G33" s="122" t="s">
        <v>1760</v>
      </c>
      <c r="H33" s="7"/>
      <c r="I33" s="244"/>
      <c r="J33" s="250"/>
      <c r="K33" s="8" t="s">
        <v>206</v>
      </c>
      <c r="L33" s="7"/>
      <c r="M33" s="7"/>
      <c r="N33" s="7"/>
      <c r="O33" s="7"/>
      <c r="P33" s="7"/>
      <c r="Q33" s="7"/>
      <c r="R33" s="7"/>
      <c r="S33" s="7"/>
      <c r="T33" s="7"/>
      <c r="U33" s="7"/>
      <c r="V33" s="7"/>
      <c r="W33" s="7"/>
      <c r="X33" s="7"/>
      <c r="Y33" s="7"/>
    </row>
    <row r="34" spans="1:25" x14ac:dyDescent="0.2">
      <c r="A34" s="67">
        <v>31</v>
      </c>
      <c r="B34" s="68" t="s">
        <v>385</v>
      </c>
      <c r="C34" s="7"/>
      <c r="E34" s="7"/>
      <c r="F34" s="80">
        <v>32</v>
      </c>
      <c r="G34" s="122" t="s">
        <v>1761</v>
      </c>
      <c r="H34" s="7"/>
      <c r="I34" s="244"/>
      <c r="J34" s="250"/>
      <c r="K34" s="8" t="s">
        <v>1762</v>
      </c>
      <c r="L34" s="7"/>
      <c r="M34" s="7"/>
      <c r="N34" s="7"/>
      <c r="O34" s="7"/>
      <c r="P34" s="7"/>
      <c r="Q34" s="7"/>
      <c r="R34" s="7"/>
      <c r="S34" s="7"/>
      <c r="T34" s="7"/>
      <c r="U34" s="7"/>
      <c r="V34" s="7"/>
      <c r="W34" s="7"/>
      <c r="X34" s="7"/>
      <c r="Y34" s="7"/>
    </row>
    <row r="35" spans="1:25" x14ac:dyDescent="0.2">
      <c r="A35" s="67">
        <v>32</v>
      </c>
      <c r="B35" s="68" t="s">
        <v>223</v>
      </c>
      <c r="C35" s="7"/>
      <c r="E35" s="7"/>
      <c r="F35" s="80">
        <v>33</v>
      </c>
      <c r="G35" s="122" t="s">
        <v>1763</v>
      </c>
      <c r="H35" s="7"/>
      <c r="I35" s="244"/>
      <c r="J35" s="250"/>
      <c r="K35" s="8" t="s">
        <v>1764</v>
      </c>
      <c r="L35" s="7"/>
      <c r="M35" s="7"/>
      <c r="N35" s="7"/>
      <c r="O35" s="7"/>
      <c r="P35" s="7"/>
      <c r="Q35" s="7"/>
      <c r="R35" s="7"/>
      <c r="S35" s="7"/>
      <c r="T35" s="7"/>
      <c r="U35" s="7"/>
      <c r="V35" s="7"/>
      <c r="W35" s="7"/>
      <c r="X35" s="7"/>
      <c r="Y35" s="7"/>
    </row>
    <row r="36" spans="1:25" x14ac:dyDescent="0.2">
      <c r="A36" s="67">
        <v>33</v>
      </c>
      <c r="B36" s="68" t="s">
        <v>1765</v>
      </c>
      <c r="C36" s="7"/>
      <c r="E36" s="7"/>
      <c r="F36" s="80">
        <v>34</v>
      </c>
      <c r="G36" s="122" t="s">
        <v>1766</v>
      </c>
      <c r="H36" s="7"/>
      <c r="I36" s="245"/>
      <c r="J36" s="251"/>
      <c r="K36" s="8" t="s">
        <v>1767</v>
      </c>
      <c r="L36" s="7"/>
      <c r="M36" s="7"/>
      <c r="N36" s="7"/>
      <c r="O36" s="7"/>
      <c r="P36" s="7"/>
      <c r="Q36" s="7"/>
      <c r="R36" s="7"/>
      <c r="S36" s="7"/>
      <c r="T36" s="7"/>
      <c r="U36" s="7"/>
      <c r="V36" s="7"/>
      <c r="W36" s="7"/>
      <c r="X36" s="7"/>
      <c r="Y36" s="7"/>
    </row>
    <row r="37" spans="1:25" x14ac:dyDescent="0.2">
      <c r="A37" s="67">
        <v>34</v>
      </c>
      <c r="B37" s="68" t="s">
        <v>1768</v>
      </c>
      <c r="C37" s="7"/>
      <c r="E37" s="7"/>
      <c r="F37" s="80">
        <v>35</v>
      </c>
      <c r="G37" s="122" t="s">
        <v>1769</v>
      </c>
      <c r="H37" s="7"/>
      <c r="I37" s="243">
        <v>71</v>
      </c>
      <c r="J37" s="246" t="s">
        <v>1747</v>
      </c>
      <c r="K37" s="73" t="s">
        <v>1770</v>
      </c>
      <c r="L37" s="7"/>
      <c r="M37" s="7"/>
      <c r="N37" s="7"/>
      <c r="O37" s="7"/>
      <c r="P37" s="7"/>
      <c r="Q37" s="7"/>
      <c r="R37" s="7"/>
      <c r="S37" s="7"/>
      <c r="T37" s="7"/>
      <c r="U37" s="7"/>
      <c r="V37" s="7"/>
      <c r="W37" s="7"/>
      <c r="X37" s="7"/>
      <c r="Y37" s="7"/>
    </row>
    <row r="38" spans="1:25" x14ac:dyDescent="0.2">
      <c r="A38" s="67">
        <v>35</v>
      </c>
      <c r="B38" s="68" t="s">
        <v>1771</v>
      </c>
      <c r="C38" s="7"/>
      <c r="E38" s="7"/>
      <c r="F38" s="80">
        <v>36</v>
      </c>
      <c r="G38" s="122" t="s">
        <v>1772</v>
      </c>
      <c r="H38" s="7"/>
      <c r="I38" s="244"/>
      <c r="J38" s="247"/>
      <c r="K38" s="8" t="s">
        <v>1773</v>
      </c>
      <c r="L38" s="7"/>
      <c r="M38" s="7"/>
      <c r="N38" s="7"/>
      <c r="O38" s="7"/>
      <c r="P38" s="7"/>
      <c r="Q38" s="7"/>
      <c r="R38" s="7"/>
      <c r="S38" s="7"/>
      <c r="T38" s="7"/>
      <c r="U38" s="7"/>
      <c r="V38" s="7"/>
      <c r="W38" s="7"/>
      <c r="X38" s="7"/>
      <c r="Y38" s="7"/>
    </row>
    <row r="39" spans="1:25" x14ac:dyDescent="0.2">
      <c r="A39" s="67">
        <v>36</v>
      </c>
      <c r="B39" s="68" t="s">
        <v>1774</v>
      </c>
      <c r="C39" s="7"/>
      <c r="E39" s="7"/>
      <c r="F39" s="80">
        <v>37</v>
      </c>
      <c r="G39" s="122" t="s">
        <v>1775</v>
      </c>
      <c r="H39" s="7"/>
      <c r="I39" s="245"/>
      <c r="J39" s="248"/>
      <c r="K39" s="8" t="s">
        <v>1776</v>
      </c>
      <c r="L39" s="7"/>
      <c r="M39" s="7"/>
      <c r="N39" s="7"/>
      <c r="O39" s="7"/>
      <c r="P39" s="7"/>
      <c r="Q39" s="7"/>
      <c r="R39" s="7"/>
      <c r="S39" s="7"/>
      <c r="T39" s="7"/>
      <c r="U39" s="7"/>
      <c r="V39" s="7"/>
      <c r="W39" s="7"/>
      <c r="X39" s="7"/>
      <c r="Y39" s="7"/>
    </row>
    <row r="40" spans="1:25" x14ac:dyDescent="0.2">
      <c r="A40" s="67">
        <v>37</v>
      </c>
      <c r="B40" s="68" t="s">
        <v>1777</v>
      </c>
      <c r="C40" s="7"/>
      <c r="E40" s="7"/>
      <c r="F40" s="80">
        <v>38</v>
      </c>
      <c r="G40" s="122" t="s">
        <v>1778</v>
      </c>
      <c r="H40" s="7"/>
      <c r="I40" s="243">
        <v>74</v>
      </c>
      <c r="J40" s="249" t="s">
        <v>1779</v>
      </c>
      <c r="K40" s="8" t="s">
        <v>1780</v>
      </c>
      <c r="L40" s="7"/>
      <c r="M40" s="7"/>
      <c r="N40" s="7"/>
      <c r="O40" s="7"/>
      <c r="P40" s="7"/>
      <c r="Q40" s="7"/>
      <c r="R40" s="7"/>
      <c r="S40" s="7"/>
      <c r="T40" s="7"/>
      <c r="U40" s="7"/>
      <c r="V40" s="7"/>
      <c r="W40" s="7"/>
      <c r="X40" s="7"/>
      <c r="Y40" s="7"/>
    </row>
    <row r="41" spans="1:25" x14ac:dyDescent="0.2">
      <c r="A41" s="67">
        <v>38</v>
      </c>
      <c r="B41" s="68" t="s">
        <v>1781</v>
      </c>
      <c r="C41" s="7"/>
      <c r="E41" s="7"/>
      <c r="F41" s="80">
        <v>39</v>
      </c>
      <c r="G41" s="122" t="s">
        <v>1782</v>
      </c>
      <c r="H41" s="7"/>
      <c r="I41" s="244"/>
      <c r="J41" s="250"/>
      <c r="K41" s="8" t="s">
        <v>1783</v>
      </c>
      <c r="L41" s="7"/>
      <c r="M41" s="7"/>
      <c r="N41" s="7"/>
      <c r="O41" s="7"/>
      <c r="P41" s="7"/>
      <c r="Q41" s="7"/>
      <c r="R41" s="7"/>
      <c r="S41" s="7"/>
      <c r="T41" s="7"/>
      <c r="U41" s="7"/>
      <c r="V41" s="7"/>
      <c r="W41" s="7"/>
      <c r="X41" s="7"/>
      <c r="Y41" s="7"/>
    </row>
    <row r="42" spans="1:25" x14ac:dyDescent="0.2">
      <c r="A42" s="67">
        <v>39</v>
      </c>
      <c r="B42" s="68" t="s">
        <v>1784</v>
      </c>
      <c r="C42" s="7"/>
      <c r="E42" s="7"/>
      <c r="F42" s="80">
        <v>40</v>
      </c>
      <c r="G42" s="122" t="s">
        <v>1785</v>
      </c>
      <c r="H42" s="7"/>
      <c r="I42" s="245"/>
      <c r="J42" s="251"/>
      <c r="K42" s="8" t="s">
        <v>1786</v>
      </c>
      <c r="L42" s="7"/>
      <c r="M42" s="7"/>
      <c r="N42" s="7"/>
      <c r="O42" s="7"/>
      <c r="P42" s="7"/>
      <c r="Q42" s="7"/>
      <c r="R42" s="7"/>
      <c r="S42" s="7"/>
      <c r="T42" s="7"/>
      <c r="U42" s="7"/>
      <c r="V42" s="7"/>
      <c r="W42" s="7"/>
      <c r="X42" s="7"/>
      <c r="Y42" s="7"/>
    </row>
    <row r="43" spans="1:25" x14ac:dyDescent="0.2">
      <c r="A43" s="67">
        <v>40</v>
      </c>
      <c r="B43" s="68" t="s">
        <v>1787</v>
      </c>
      <c r="C43" s="7"/>
      <c r="E43" s="7"/>
      <c r="F43" s="80">
        <v>41</v>
      </c>
      <c r="G43" s="124" t="s">
        <v>1788</v>
      </c>
      <c r="H43" s="7"/>
      <c r="I43" s="243">
        <v>78</v>
      </c>
      <c r="J43" s="246" t="s">
        <v>1714</v>
      </c>
      <c r="K43" s="8" t="s">
        <v>1789</v>
      </c>
      <c r="L43" s="7"/>
      <c r="M43" s="7"/>
      <c r="N43" s="7"/>
      <c r="O43" s="7"/>
      <c r="P43" s="7"/>
      <c r="Q43" s="7"/>
      <c r="R43" s="7"/>
      <c r="S43" s="7"/>
      <c r="T43" s="7"/>
      <c r="U43" s="7"/>
      <c r="V43" s="7"/>
      <c r="W43" s="7"/>
      <c r="X43" s="7"/>
      <c r="Y43" s="7"/>
    </row>
    <row r="44" spans="1:25" x14ac:dyDescent="0.2">
      <c r="A44" s="67">
        <v>41</v>
      </c>
      <c r="B44" s="68" t="s">
        <v>1790</v>
      </c>
      <c r="C44" s="7"/>
      <c r="E44" s="7"/>
      <c r="F44" s="80">
        <v>42</v>
      </c>
      <c r="G44" s="124" t="s">
        <v>1791</v>
      </c>
      <c r="H44" s="7"/>
      <c r="I44" s="245"/>
      <c r="J44" s="248"/>
      <c r="K44" s="8" t="s">
        <v>1792</v>
      </c>
      <c r="L44" s="7"/>
      <c r="M44" s="7"/>
      <c r="N44" s="7"/>
      <c r="O44" s="7"/>
      <c r="P44" s="7"/>
      <c r="Q44" s="7"/>
      <c r="R44" s="7"/>
      <c r="S44" s="7"/>
      <c r="T44" s="7"/>
      <c r="U44" s="7"/>
      <c r="V44" s="7"/>
      <c r="W44" s="7"/>
      <c r="X44" s="7"/>
      <c r="Y44" s="7"/>
    </row>
    <row r="45" spans="1:25" x14ac:dyDescent="0.2">
      <c r="A45" s="67">
        <v>42</v>
      </c>
      <c r="B45" s="70" t="s">
        <v>110</v>
      </c>
      <c r="C45" s="7"/>
      <c r="E45" s="7"/>
      <c r="F45" s="80">
        <v>43</v>
      </c>
      <c r="G45" s="124" t="s">
        <v>1793</v>
      </c>
      <c r="H45" s="7"/>
      <c r="I45" s="243">
        <v>82</v>
      </c>
      <c r="J45" s="246" t="s">
        <v>1722</v>
      </c>
      <c r="K45" s="8" t="s">
        <v>1794</v>
      </c>
      <c r="L45" s="7"/>
      <c r="M45" s="7"/>
      <c r="N45" s="7"/>
      <c r="O45" s="7"/>
      <c r="P45" s="7"/>
      <c r="Q45" s="7"/>
      <c r="R45" s="7"/>
      <c r="S45" s="7"/>
      <c r="T45" s="7"/>
      <c r="U45" s="7"/>
      <c r="V45" s="7"/>
      <c r="W45" s="7"/>
      <c r="X45" s="7"/>
      <c r="Y45" s="7"/>
    </row>
    <row r="46" spans="1:25" x14ac:dyDescent="0.2">
      <c r="A46" s="67">
        <v>43</v>
      </c>
      <c r="B46" s="68" t="s">
        <v>1795</v>
      </c>
      <c r="C46" s="7"/>
      <c r="E46" s="7"/>
      <c r="F46" s="80">
        <v>44</v>
      </c>
      <c r="G46" s="124" t="s">
        <v>1796</v>
      </c>
      <c r="H46" s="7"/>
      <c r="I46" s="245"/>
      <c r="J46" s="248"/>
      <c r="K46" s="8" t="s">
        <v>1797</v>
      </c>
      <c r="L46" s="7"/>
      <c r="M46" s="7"/>
      <c r="N46" s="7"/>
      <c r="O46" s="7"/>
      <c r="P46" s="7"/>
      <c r="Q46" s="7"/>
      <c r="R46" s="7"/>
      <c r="S46" s="7"/>
      <c r="T46" s="7"/>
      <c r="U46" s="7"/>
      <c r="V46" s="7"/>
      <c r="W46" s="7"/>
      <c r="X46" s="7"/>
      <c r="Y46" s="7"/>
    </row>
    <row r="47" spans="1:25" x14ac:dyDescent="0.2">
      <c r="A47" s="67">
        <v>44</v>
      </c>
      <c r="B47" s="68" t="s">
        <v>1798</v>
      </c>
      <c r="C47" s="7"/>
      <c r="E47" s="7"/>
      <c r="F47" s="80">
        <v>45</v>
      </c>
      <c r="G47" s="124" t="s">
        <v>1799</v>
      </c>
      <c r="H47" s="7"/>
      <c r="I47" s="243">
        <v>86</v>
      </c>
      <c r="J47" s="249" t="s">
        <v>1726</v>
      </c>
      <c r="K47" s="8" t="s">
        <v>1800</v>
      </c>
      <c r="L47" s="7"/>
      <c r="M47" s="7"/>
      <c r="N47" s="7"/>
      <c r="O47" s="7"/>
      <c r="P47" s="7"/>
      <c r="Q47" s="7"/>
      <c r="R47" s="7"/>
      <c r="S47" s="7"/>
      <c r="T47" s="7"/>
      <c r="U47" s="7"/>
      <c r="V47" s="7"/>
      <c r="W47" s="7"/>
      <c r="X47" s="7"/>
      <c r="Y47" s="7"/>
    </row>
    <row r="48" spans="1:25" x14ac:dyDescent="0.2">
      <c r="A48" s="67">
        <v>45</v>
      </c>
      <c r="B48" s="68" t="s">
        <v>1801</v>
      </c>
      <c r="C48" s="7"/>
      <c r="E48" s="7"/>
      <c r="F48" s="80">
        <v>46</v>
      </c>
      <c r="G48" s="124" t="s">
        <v>1802</v>
      </c>
      <c r="H48" s="7"/>
      <c r="I48" s="244"/>
      <c r="J48" s="250"/>
      <c r="K48" s="8" t="s">
        <v>1803</v>
      </c>
      <c r="L48" s="7"/>
      <c r="M48" s="7"/>
      <c r="N48" s="7"/>
      <c r="O48" s="7"/>
      <c r="P48" s="7"/>
      <c r="Q48" s="7"/>
      <c r="R48" s="7"/>
      <c r="S48" s="7"/>
      <c r="T48" s="7"/>
      <c r="U48" s="7"/>
      <c r="V48" s="7"/>
      <c r="W48" s="7"/>
      <c r="X48" s="7"/>
      <c r="Y48" s="7"/>
    </row>
    <row r="49" spans="1:25" x14ac:dyDescent="0.2">
      <c r="A49" s="67">
        <v>46</v>
      </c>
      <c r="B49" s="68" t="s">
        <v>1804</v>
      </c>
      <c r="C49" s="7"/>
      <c r="E49" s="7"/>
      <c r="F49" s="80">
        <v>47</v>
      </c>
      <c r="G49" s="124" t="s">
        <v>1805</v>
      </c>
      <c r="H49" s="7"/>
      <c r="I49" s="244"/>
      <c r="J49" s="250"/>
      <c r="K49" s="8" t="s">
        <v>1806</v>
      </c>
      <c r="L49" s="7"/>
      <c r="M49" s="7"/>
      <c r="N49" s="7"/>
      <c r="O49" s="7"/>
      <c r="P49" s="7"/>
      <c r="Q49" s="7"/>
      <c r="R49" s="7"/>
      <c r="S49" s="7"/>
      <c r="T49" s="7"/>
      <c r="U49" s="7"/>
      <c r="V49" s="7"/>
      <c r="W49" s="7"/>
      <c r="X49" s="7"/>
      <c r="Y49" s="7"/>
    </row>
    <row r="50" spans="1:25" x14ac:dyDescent="0.2">
      <c r="A50" s="67">
        <v>47</v>
      </c>
      <c r="B50" s="68" t="s">
        <v>1807</v>
      </c>
      <c r="C50" s="7"/>
      <c r="E50" s="7"/>
      <c r="F50" s="80">
        <v>48</v>
      </c>
      <c r="G50" s="124" t="s">
        <v>1808</v>
      </c>
      <c r="H50" s="7"/>
      <c r="I50" s="245"/>
      <c r="J50" s="251"/>
      <c r="K50" s="8" t="s">
        <v>1809</v>
      </c>
      <c r="L50" s="7"/>
      <c r="M50" s="7"/>
      <c r="N50" s="7"/>
      <c r="O50" s="7"/>
      <c r="P50" s="7"/>
      <c r="Q50" s="7"/>
      <c r="R50" s="7"/>
      <c r="S50" s="7"/>
      <c r="T50" s="7"/>
      <c r="U50" s="7"/>
      <c r="V50" s="7"/>
      <c r="W50" s="7"/>
      <c r="X50" s="7"/>
      <c r="Y50" s="7"/>
    </row>
    <row r="51" spans="1:25" x14ac:dyDescent="0.2">
      <c r="A51" s="67">
        <v>48</v>
      </c>
      <c r="B51" s="68" t="s">
        <v>1810</v>
      </c>
      <c r="C51" s="7"/>
      <c r="E51" s="7"/>
      <c r="F51" s="80">
        <v>49</v>
      </c>
      <c r="G51" s="124" t="s">
        <v>1811</v>
      </c>
      <c r="H51" s="7"/>
      <c r="I51" s="243">
        <v>90</v>
      </c>
      <c r="J51" s="249" t="s">
        <v>1728</v>
      </c>
      <c r="K51" s="8" t="s">
        <v>1812</v>
      </c>
      <c r="L51" s="7"/>
      <c r="M51" s="7"/>
      <c r="N51" s="7"/>
      <c r="O51" s="7"/>
      <c r="P51" s="7"/>
      <c r="Q51" s="7"/>
      <c r="R51" s="7"/>
      <c r="S51" s="7"/>
      <c r="T51" s="7"/>
      <c r="U51" s="7"/>
      <c r="V51" s="7"/>
      <c r="W51" s="7"/>
      <c r="X51" s="7"/>
      <c r="Y51" s="7"/>
    </row>
    <row r="52" spans="1:25" x14ac:dyDescent="0.2">
      <c r="A52" s="67">
        <v>49</v>
      </c>
      <c r="B52" s="68" t="s">
        <v>1813</v>
      </c>
      <c r="C52" s="7"/>
      <c r="E52" s="7"/>
      <c r="F52" s="80">
        <v>50</v>
      </c>
      <c r="G52" s="124" t="s">
        <v>1814</v>
      </c>
      <c r="H52" s="7"/>
      <c r="I52" s="244"/>
      <c r="J52" s="250"/>
      <c r="K52" s="8" t="s">
        <v>1815</v>
      </c>
      <c r="L52" s="7"/>
      <c r="M52" s="7"/>
      <c r="N52" s="7"/>
      <c r="O52" s="7"/>
      <c r="P52" s="7"/>
      <c r="Q52" s="7"/>
      <c r="R52" s="7"/>
      <c r="S52" s="7"/>
      <c r="T52" s="7"/>
      <c r="U52" s="7"/>
      <c r="V52" s="7"/>
      <c r="W52" s="7"/>
      <c r="X52" s="7"/>
      <c r="Y52" s="7"/>
    </row>
    <row r="53" spans="1:25" x14ac:dyDescent="0.2">
      <c r="A53" s="67">
        <v>50</v>
      </c>
      <c r="B53" s="68" t="s">
        <v>1816</v>
      </c>
      <c r="C53" s="7"/>
      <c r="E53" s="7"/>
      <c r="F53" s="80">
        <v>51</v>
      </c>
      <c r="G53" s="124" t="s">
        <v>1817</v>
      </c>
      <c r="H53" s="7"/>
      <c r="I53" s="244"/>
      <c r="J53" s="250"/>
      <c r="K53" s="8" t="s">
        <v>1818</v>
      </c>
      <c r="L53" s="7"/>
      <c r="M53" s="7"/>
      <c r="N53" s="7"/>
      <c r="O53" s="7"/>
      <c r="P53" s="7"/>
      <c r="Q53" s="7"/>
      <c r="R53" s="7"/>
      <c r="S53" s="7"/>
      <c r="T53" s="7"/>
      <c r="U53" s="7"/>
      <c r="V53" s="7"/>
      <c r="W53" s="7"/>
      <c r="X53" s="7"/>
      <c r="Y53" s="7"/>
    </row>
    <row r="54" spans="1:25" x14ac:dyDescent="0.2">
      <c r="A54" s="67">
        <v>51</v>
      </c>
      <c r="B54" s="68" t="s">
        <v>1819</v>
      </c>
      <c r="C54" s="7"/>
      <c r="E54" s="7"/>
      <c r="F54" s="80">
        <v>52</v>
      </c>
      <c r="G54" s="124" t="s">
        <v>1820</v>
      </c>
      <c r="H54" s="7"/>
      <c r="I54" s="245"/>
      <c r="J54" s="251"/>
      <c r="K54" s="8" t="s">
        <v>1821</v>
      </c>
      <c r="L54" s="7"/>
      <c r="M54" s="7"/>
      <c r="N54" s="7"/>
      <c r="O54" s="7"/>
      <c r="P54" s="7"/>
      <c r="Q54" s="7"/>
      <c r="R54" s="7"/>
      <c r="S54" s="7"/>
      <c r="T54" s="7"/>
      <c r="U54" s="7"/>
      <c r="V54" s="7"/>
      <c r="W54" s="7"/>
      <c r="X54" s="7"/>
      <c r="Y54" s="7"/>
    </row>
    <row r="55" spans="1:25" x14ac:dyDescent="0.2">
      <c r="A55" s="67">
        <v>52</v>
      </c>
      <c r="B55" s="68" t="s">
        <v>1822</v>
      </c>
      <c r="C55" s="7"/>
      <c r="E55" s="7"/>
      <c r="F55" s="80">
        <v>53</v>
      </c>
      <c r="G55" s="124" t="s">
        <v>1823</v>
      </c>
      <c r="H55" s="7"/>
      <c r="I55" s="243">
        <v>94</v>
      </c>
      <c r="J55" s="249" t="s">
        <v>1731</v>
      </c>
      <c r="K55" s="8" t="s">
        <v>1824</v>
      </c>
      <c r="L55" s="7"/>
      <c r="M55" s="7"/>
      <c r="N55" s="7"/>
      <c r="O55" s="7"/>
      <c r="P55" s="7"/>
      <c r="Q55" s="7"/>
      <c r="R55" s="7"/>
      <c r="S55" s="7"/>
      <c r="T55" s="7"/>
      <c r="U55" s="7"/>
      <c r="V55" s="7"/>
      <c r="W55" s="7"/>
      <c r="X55" s="7"/>
      <c r="Y55" s="7"/>
    </row>
    <row r="56" spans="1:25" x14ac:dyDescent="0.2">
      <c r="A56" s="67">
        <v>53</v>
      </c>
      <c r="B56" s="68" t="s">
        <v>1825</v>
      </c>
      <c r="C56" s="7"/>
      <c r="E56" s="7"/>
      <c r="F56" s="80">
        <v>54</v>
      </c>
      <c r="G56" s="124" t="s">
        <v>1826</v>
      </c>
      <c r="H56" s="7"/>
      <c r="I56" s="244"/>
      <c r="J56" s="250"/>
      <c r="K56" s="8" t="s">
        <v>1827</v>
      </c>
      <c r="L56" s="7"/>
      <c r="M56" s="7"/>
      <c r="N56" s="7"/>
      <c r="O56" s="7"/>
      <c r="P56" s="7"/>
      <c r="Q56" s="7"/>
      <c r="R56" s="7"/>
      <c r="S56" s="7"/>
      <c r="T56" s="7"/>
      <c r="U56" s="7"/>
      <c r="V56" s="7"/>
      <c r="W56" s="7"/>
      <c r="X56" s="7"/>
      <c r="Y56" s="7"/>
    </row>
    <row r="57" spans="1:25" x14ac:dyDescent="0.2">
      <c r="A57" s="67">
        <v>54</v>
      </c>
      <c r="B57" s="70" t="s">
        <v>1828</v>
      </c>
      <c r="C57" s="7"/>
      <c r="E57" s="7"/>
      <c r="F57" s="80">
        <v>55</v>
      </c>
      <c r="G57" s="124" t="s">
        <v>1829</v>
      </c>
      <c r="H57" s="7"/>
      <c r="I57" s="245"/>
      <c r="J57" s="251"/>
      <c r="K57" s="8" t="s">
        <v>1830</v>
      </c>
      <c r="L57" s="7"/>
      <c r="M57" s="7"/>
      <c r="N57" s="7"/>
      <c r="O57" s="7"/>
      <c r="P57" s="7"/>
      <c r="Q57" s="7"/>
      <c r="R57" s="7"/>
      <c r="S57" s="7"/>
      <c r="T57" s="7"/>
      <c r="U57" s="7"/>
      <c r="V57" s="7"/>
      <c r="W57" s="7"/>
      <c r="X57" s="7"/>
      <c r="Y57" s="7"/>
    </row>
    <row r="58" spans="1:25" x14ac:dyDescent="0.2">
      <c r="A58" s="67">
        <v>55</v>
      </c>
      <c r="B58" s="68" t="s">
        <v>1682</v>
      </c>
      <c r="C58" s="7"/>
      <c r="E58" s="7"/>
      <c r="F58" s="80">
        <v>56</v>
      </c>
      <c r="G58" s="145" t="s">
        <v>1831</v>
      </c>
      <c r="H58" s="7"/>
      <c r="I58" s="243">
        <v>98</v>
      </c>
      <c r="J58" s="249" t="s">
        <v>1735</v>
      </c>
      <c r="K58" s="8" t="s">
        <v>1832</v>
      </c>
      <c r="L58" s="7"/>
      <c r="M58" s="7"/>
      <c r="N58" s="7"/>
      <c r="O58" s="7"/>
      <c r="P58" s="7"/>
      <c r="Q58" s="7"/>
      <c r="R58" s="7"/>
      <c r="S58" s="7"/>
      <c r="T58" s="7"/>
      <c r="U58" s="7"/>
      <c r="V58" s="7"/>
      <c r="W58" s="7"/>
      <c r="X58" s="7"/>
      <c r="Y58" s="7"/>
    </row>
    <row r="59" spans="1:25" x14ac:dyDescent="0.2">
      <c r="A59" s="67">
        <v>56</v>
      </c>
      <c r="B59" s="68" t="s">
        <v>1833</v>
      </c>
      <c r="C59" s="7"/>
      <c r="E59" s="7"/>
      <c r="F59" s="80">
        <v>57</v>
      </c>
      <c r="G59" s="124" t="s">
        <v>1834</v>
      </c>
      <c r="H59" s="7"/>
      <c r="I59" s="244"/>
      <c r="J59" s="250"/>
      <c r="K59" s="8" t="s">
        <v>1835</v>
      </c>
      <c r="L59" s="7"/>
      <c r="M59" s="7"/>
      <c r="N59" s="7"/>
      <c r="O59" s="7"/>
      <c r="P59" s="7"/>
      <c r="Q59" s="7"/>
      <c r="R59" s="7"/>
      <c r="S59" s="7"/>
      <c r="T59" s="7"/>
      <c r="U59" s="7"/>
      <c r="V59" s="7"/>
      <c r="W59" s="7"/>
      <c r="X59" s="7"/>
      <c r="Y59" s="7"/>
    </row>
    <row r="60" spans="1:25" x14ac:dyDescent="0.2">
      <c r="A60" s="67">
        <v>57</v>
      </c>
      <c r="B60" s="68" t="s">
        <v>1836</v>
      </c>
      <c r="C60" s="7"/>
      <c r="E60" s="7"/>
      <c r="F60" s="80">
        <v>58</v>
      </c>
      <c r="G60" s="124" t="s">
        <v>1837</v>
      </c>
      <c r="H60" s="7"/>
      <c r="I60" s="244"/>
      <c r="J60" s="250"/>
      <c r="K60" s="8" t="s">
        <v>1838</v>
      </c>
      <c r="L60" s="7"/>
      <c r="M60" s="7"/>
      <c r="N60" s="7"/>
      <c r="O60" s="7"/>
      <c r="P60" s="7"/>
      <c r="Q60" s="7"/>
      <c r="R60" s="7"/>
      <c r="S60" s="7"/>
      <c r="T60" s="7"/>
      <c r="U60" s="7"/>
      <c r="V60" s="7"/>
      <c r="W60" s="7"/>
      <c r="X60" s="7"/>
      <c r="Y60" s="7"/>
    </row>
    <row r="61" spans="1:25" ht="25.5" x14ac:dyDescent="0.2">
      <c r="A61" s="67">
        <v>58</v>
      </c>
      <c r="B61" s="68" t="s">
        <v>1839</v>
      </c>
      <c r="C61" s="7"/>
      <c r="E61" s="7"/>
      <c r="F61" s="80">
        <v>59</v>
      </c>
      <c r="G61" s="145" t="s">
        <v>1840</v>
      </c>
      <c r="H61" s="7"/>
      <c r="I61" s="244"/>
      <c r="J61" s="250"/>
      <c r="K61" s="8" t="s">
        <v>1841</v>
      </c>
      <c r="L61" s="7"/>
      <c r="M61" s="7"/>
      <c r="N61" s="7"/>
      <c r="O61" s="7"/>
      <c r="P61" s="7"/>
      <c r="Q61" s="7"/>
      <c r="R61" s="7"/>
      <c r="S61" s="7"/>
      <c r="T61" s="7"/>
      <c r="U61" s="7"/>
      <c r="V61" s="7"/>
      <c r="W61" s="7"/>
      <c r="X61" s="7"/>
      <c r="Y61" s="7"/>
    </row>
    <row r="62" spans="1:25" x14ac:dyDescent="0.2">
      <c r="A62" s="67">
        <v>59</v>
      </c>
      <c r="B62" s="68" t="s">
        <v>1300</v>
      </c>
      <c r="C62" s="7"/>
      <c r="E62" s="7"/>
      <c r="F62" s="80">
        <v>60</v>
      </c>
      <c r="G62" s="124" t="s">
        <v>1842</v>
      </c>
      <c r="H62" s="7"/>
      <c r="I62" s="245"/>
      <c r="J62" s="251"/>
      <c r="K62" s="8" t="s">
        <v>1843</v>
      </c>
      <c r="L62" s="7"/>
      <c r="M62" s="7"/>
      <c r="N62" s="7"/>
      <c r="O62" s="7"/>
      <c r="P62" s="7"/>
      <c r="Q62" s="7"/>
      <c r="R62" s="7"/>
      <c r="S62" s="7"/>
      <c r="T62" s="7"/>
      <c r="U62" s="7"/>
      <c r="V62" s="7"/>
      <c r="W62" s="7"/>
      <c r="X62" s="7"/>
      <c r="Y62" s="7"/>
    </row>
    <row r="63" spans="1:25" ht="26.25" thickBot="1" x14ac:dyDescent="0.25">
      <c r="A63" s="74"/>
      <c r="B63" s="75" t="s">
        <v>415</v>
      </c>
      <c r="C63" s="7"/>
      <c r="E63" s="7"/>
      <c r="F63" s="80">
        <v>61</v>
      </c>
      <c r="G63" s="145" t="s">
        <v>1844</v>
      </c>
      <c r="H63" s="7"/>
      <c r="I63" s="254">
        <v>102</v>
      </c>
      <c r="J63" s="257" t="s">
        <v>1845</v>
      </c>
      <c r="K63" s="143" t="s">
        <v>1846</v>
      </c>
      <c r="L63" s="7"/>
      <c r="M63" s="7"/>
      <c r="N63" s="7"/>
      <c r="O63" s="7"/>
      <c r="P63" s="7"/>
      <c r="Q63" s="7"/>
      <c r="R63" s="7"/>
      <c r="S63" s="7"/>
      <c r="T63" s="7"/>
      <c r="U63" s="7"/>
      <c r="V63" s="7"/>
      <c r="W63" s="7"/>
      <c r="X63" s="7"/>
      <c r="Y63" s="7"/>
    </row>
    <row r="64" spans="1:25" x14ac:dyDescent="0.2">
      <c r="C64" s="7"/>
      <c r="E64" s="7"/>
      <c r="F64" s="80">
        <v>62</v>
      </c>
      <c r="G64" s="124" t="s">
        <v>1847</v>
      </c>
      <c r="H64" s="7"/>
      <c r="I64" s="255"/>
      <c r="J64" s="258"/>
      <c r="K64" s="143" t="s">
        <v>1848</v>
      </c>
      <c r="L64" s="7"/>
      <c r="M64" s="7"/>
      <c r="N64" s="7"/>
      <c r="O64" s="7"/>
      <c r="P64" s="7"/>
      <c r="Q64" s="7"/>
      <c r="R64" s="7"/>
      <c r="S64" s="7"/>
      <c r="T64" s="7"/>
      <c r="U64" s="7"/>
      <c r="V64" s="7"/>
      <c r="W64" s="7"/>
      <c r="X64" s="7"/>
      <c r="Y64" s="7"/>
    </row>
    <row r="65" spans="3:25" x14ac:dyDescent="0.2">
      <c r="C65" s="7"/>
      <c r="E65" s="7"/>
      <c r="F65" s="80">
        <v>63</v>
      </c>
      <c r="G65" s="124" t="s">
        <v>1849</v>
      </c>
      <c r="H65" s="7"/>
      <c r="I65" s="255"/>
      <c r="J65" s="258"/>
      <c r="K65" s="143" t="s">
        <v>1850</v>
      </c>
      <c r="L65" s="7"/>
      <c r="M65" s="7"/>
      <c r="N65" s="7"/>
      <c r="O65" s="7"/>
      <c r="P65" s="7"/>
      <c r="Q65" s="7"/>
      <c r="R65" s="7"/>
      <c r="S65" s="7"/>
      <c r="T65" s="7"/>
      <c r="U65" s="7"/>
      <c r="V65" s="7"/>
      <c r="W65" s="7"/>
      <c r="X65" s="7"/>
      <c r="Y65" s="7"/>
    </row>
    <row r="66" spans="3:25" ht="13.5" thickBot="1" x14ac:dyDescent="0.25">
      <c r="C66" s="7"/>
      <c r="E66" s="7"/>
      <c r="F66" s="86">
        <v>64</v>
      </c>
      <c r="G66" s="125" t="s">
        <v>1851</v>
      </c>
      <c r="H66" s="7"/>
      <c r="I66" s="255"/>
      <c r="J66" s="258"/>
      <c r="K66" s="143" t="s">
        <v>177</v>
      </c>
      <c r="L66" s="7"/>
      <c r="M66" s="7"/>
      <c r="N66" s="7"/>
      <c r="O66" s="7"/>
      <c r="P66" s="7"/>
      <c r="Q66" s="7"/>
      <c r="R66" s="7"/>
      <c r="S66" s="7"/>
      <c r="T66" s="7"/>
      <c r="U66" s="7"/>
      <c r="V66" s="7"/>
      <c r="W66" s="7"/>
      <c r="X66" s="7"/>
      <c r="Y66" s="7"/>
    </row>
    <row r="67" spans="3:25" x14ac:dyDescent="0.2">
      <c r="C67" s="7"/>
      <c r="E67" s="7"/>
      <c r="F67" s="55"/>
      <c r="G67" s="56"/>
      <c r="H67" s="7"/>
      <c r="I67" s="255"/>
      <c r="J67" s="258"/>
      <c r="K67" s="143" t="s">
        <v>1852</v>
      </c>
      <c r="L67" s="7"/>
      <c r="M67" s="7"/>
      <c r="N67" s="7"/>
      <c r="O67" s="7"/>
      <c r="P67" s="7"/>
      <c r="Q67" s="7"/>
      <c r="R67" s="7"/>
      <c r="S67" s="7"/>
      <c r="T67" s="7"/>
      <c r="U67" s="7"/>
      <c r="V67" s="7"/>
      <c r="W67" s="7"/>
      <c r="X67" s="7"/>
      <c r="Y67" s="7"/>
    </row>
    <row r="68" spans="3:25" x14ac:dyDescent="0.2">
      <c r="C68" s="7"/>
      <c r="E68" s="7"/>
      <c r="F68" s="55"/>
      <c r="G68" s="56"/>
      <c r="H68" s="7"/>
      <c r="I68" s="256"/>
      <c r="J68" s="259"/>
      <c r="K68" s="143" t="s">
        <v>1853</v>
      </c>
      <c r="L68" s="7"/>
      <c r="M68" s="7"/>
      <c r="N68" s="7"/>
      <c r="O68" s="7"/>
      <c r="P68" s="7"/>
      <c r="Q68" s="7"/>
      <c r="R68" s="7"/>
      <c r="S68" s="7"/>
      <c r="T68" s="7"/>
      <c r="U68" s="7"/>
      <c r="V68" s="7"/>
      <c r="W68" s="7"/>
      <c r="X68" s="7"/>
      <c r="Y68" s="7"/>
    </row>
    <row r="69" spans="3:25" x14ac:dyDescent="0.2">
      <c r="C69" s="7"/>
      <c r="E69" s="7"/>
      <c r="F69" s="55"/>
      <c r="G69" s="56"/>
      <c r="H69" s="7"/>
      <c r="I69" s="243">
        <v>107</v>
      </c>
      <c r="J69" s="249" t="s">
        <v>1739</v>
      </c>
      <c r="K69" s="8" t="s">
        <v>1854</v>
      </c>
      <c r="L69" s="7"/>
      <c r="M69" s="7"/>
      <c r="N69" s="7"/>
      <c r="O69" s="7"/>
      <c r="P69" s="7"/>
      <c r="Q69" s="7"/>
      <c r="R69" s="7"/>
      <c r="S69" s="7"/>
      <c r="T69" s="7"/>
      <c r="U69" s="7"/>
      <c r="V69" s="7"/>
      <c r="W69" s="7"/>
      <c r="X69" s="7"/>
      <c r="Y69" s="7"/>
    </row>
    <row r="70" spans="3:25" x14ac:dyDescent="0.2">
      <c r="C70" s="7"/>
      <c r="E70" s="7"/>
      <c r="F70" s="55"/>
      <c r="G70" s="56"/>
      <c r="H70" s="7"/>
      <c r="I70" s="244"/>
      <c r="J70" s="250"/>
      <c r="K70" s="8" t="s">
        <v>1855</v>
      </c>
      <c r="L70" s="7"/>
      <c r="M70" s="7"/>
      <c r="N70" s="7"/>
      <c r="O70" s="7"/>
      <c r="P70" s="7"/>
      <c r="Q70" s="7"/>
      <c r="R70" s="7"/>
      <c r="S70" s="7"/>
      <c r="T70" s="7"/>
      <c r="U70" s="7"/>
      <c r="V70" s="7"/>
      <c r="W70" s="7"/>
      <c r="X70" s="7"/>
      <c r="Y70" s="7"/>
    </row>
    <row r="71" spans="3:25" x14ac:dyDescent="0.2">
      <c r="C71" s="7"/>
      <c r="E71" s="7"/>
      <c r="F71" s="55"/>
      <c r="G71" s="56"/>
      <c r="H71" s="7"/>
      <c r="I71" s="244"/>
      <c r="J71" s="250"/>
      <c r="K71" s="8" t="s">
        <v>1856</v>
      </c>
      <c r="L71" s="7"/>
      <c r="M71" s="7"/>
      <c r="N71" s="7"/>
      <c r="O71" s="7"/>
      <c r="P71" s="7"/>
      <c r="Q71" s="7"/>
      <c r="R71" s="7"/>
      <c r="S71" s="7"/>
      <c r="T71" s="7"/>
      <c r="U71" s="7"/>
      <c r="V71" s="7"/>
      <c r="W71" s="7"/>
      <c r="X71" s="7"/>
      <c r="Y71" s="7"/>
    </row>
    <row r="72" spans="3:25" ht="38.25" x14ac:dyDescent="0.2">
      <c r="C72" s="7"/>
      <c r="E72" s="7"/>
      <c r="F72" s="55"/>
      <c r="G72" s="56"/>
      <c r="H72" s="7"/>
      <c r="I72" s="244"/>
      <c r="J72" s="250"/>
      <c r="K72" s="146" t="s">
        <v>1857</v>
      </c>
      <c r="L72" s="7"/>
      <c r="M72" s="7"/>
      <c r="N72" s="7"/>
      <c r="O72" s="7"/>
      <c r="P72" s="7"/>
      <c r="Q72" s="7"/>
      <c r="R72" s="7"/>
      <c r="S72" s="7"/>
      <c r="T72" s="7"/>
      <c r="U72" s="7"/>
      <c r="V72" s="7"/>
      <c r="W72" s="7"/>
      <c r="X72" s="7"/>
      <c r="Y72" s="7"/>
    </row>
    <row r="73" spans="3:25" x14ac:dyDescent="0.2">
      <c r="C73" s="7"/>
      <c r="E73" s="7"/>
      <c r="F73" s="55"/>
      <c r="G73" s="56"/>
      <c r="H73" s="7"/>
      <c r="I73" s="244"/>
      <c r="J73" s="250"/>
      <c r="K73" s="8" t="s">
        <v>1858</v>
      </c>
      <c r="L73" s="7"/>
      <c r="M73" s="7"/>
      <c r="N73" s="7"/>
      <c r="O73" s="7"/>
      <c r="P73" s="7"/>
      <c r="Q73" s="7"/>
      <c r="R73" s="7"/>
      <c r="S73" s="7"/>
      <c r="T73" s="7"/>
      <c r="U73" s="7"/>
      <c r="V73" s="7"/>
      <c r="W73" s="7"/>
      <c r="X73" s="7"/>
      <c r="Y73" s="7"/>
    </row>
    <row r="74" spans="3:25" x14ac:dyDescent="0.2">
      <c r="C74" s="7"/>
      <c r="E74" s="7"/>
      <c r="F74" s="55"/>
      <c r="G74" s="56"/>
      <c r="H74" s="7"/>
      <c r="I74" s="244"/>
      <c r="J74" s="250"/>
      <c r="K74" s="8" t="s">
        <v>1859</v>
      </c>
      <c r="L74" s="7"/>
      <c r="M74" s="7"/>
      <c r="N74" s="7"/>
      <c r="O74" s="7"/>
      <c r="P74" s="7"/>
      <c r="Q74" s="7"/>
      <c r="R74" s="7"/>
      <c r="S74" s="7"/>
      <c r="T74" s="7"/>
      <c r="U74" s="7"/>
      <c r="V74" s="7"/>
      <c r="W74" s="7"/>
      <c r="X74" s="7"/>
      <c r="Y74" s="7"/>
    </row>
    <row r="75" spans="3:25" x14ac:dyDescent="0.2">
      <c r="C75" s="7"/>
      <c r="E75" s="7"/>
      <c r="F75" s="55"/>
      <c r="G75" s="56"/>
      <c r="H75" s="7"/>
      <c r="I75" s="244"/>
      <c r="J75" s="250"/>
      <c r="K75" s="8" t="s">
        <v>180</v>
      </c>
      <c r="L75" s="7"/>
      <c r="M75" s="7"/>
      <c r="N75" s="7"/>
      <c r="O75" s="7"/>
      <c r="P75" s="7"/>
      <c r="Q75" s="7"/>
      <c r="R75" s="7"/>
      <c r="S75" s="7"/>
      <c r="T75" s="7"/>
      <c r="U75" s="7"/>
      <c r="V75" s="7"/>
      <c r="W75" s="7"/>
      <c r="X75" s="7"/>
      <c r="Y75" s="7"/>
    </row>
    <row r="76" spans="3:25" x14ac:dyDescent="0.2">
      <c r="C76" s="7"/>
      <c r="D76" s="7"/>
      <c r="E76" s="7"/>
      <c r="F76" s="55"/>
      <c r="G76" s="56"/>
      <c r="H76" s="7"/>
      <c r="I76" s="245"/>
      <c r="J76" s="251"/>
      <c r="K76" s="8" t="s">
        <v>1860</v>
      </c>
      <c r="L76" s="7"/>
      <c r="M76" s="7"/>
      <c r="N76" s="7"/>
      <c r="O76" s="7"/>
      <c r="P76" s="7"/>
      <c r="Q76" s="7"/>
      <c r="R76" s="7"/>
      <c r="S76" s="7"/>
      <c r="T76" s="7"/>
      <c r="U76" s="7"/>
      <c r="V76" s="7"/>
      <c r="W76" s="7"/>
      <c r="X76" s="7"/>
      <c r="Y76" s="7"/>
    </row>
    <row r="77" spans="3:25" x14ac:dyDescent="0.2">
      <c r="C77" s="7"/>
      <c r="D77" s="7"/>
      <c r="E77" s="7"/>
      <c r="F77" s="55"/>
      <c r="G77" s="56"/>
      <c r="H77" s="7"/>
      <c r="I77" s="243">
        <v>113</v>
      </c>
      <c r="J77" s="249" t="s">
        <v>1742</v>
      </c>
      <c r="K77" s="8" t="s">
        <v>1861</v>
      </c>
      <c r="L77" s="7"/>
      <c r="M77" s="7"/>
      <c r="N77" s="7"/>
      <c r="O77" s="7"/>
      <c r="P77" s="7"/>
      <c r="Q77" s="7"/>
      <c r="R77" s="7"/>
      <c r="S77" s="7"/>
      <c r="T77" s="7"/>
      <c r="U77" s="7"/>
      <c r="V77" s="7"/>
      <c r="W77" s="7"/>
      <c r="X77" s="7"/>
      <c r="Y77" s="7"/>
    </row>
    <row r="78" spans="3:25" ht="25.5" x14ac:dyDescent="0.2">
      <c r="C78" s="7"/>
      <c r="D78" s="7"/>
      <c r="E78" s="7"/>
      <c r="F78" s="55"/>
      <c r="G78" s="56"/>
      <c r="H78" s="7"/>
      <c r="I78" s="244"/>
      <c r="J78" s="250"/>
      <c r="K78" s="146" t="s">
        <v>1862</v>
      </c>
      <c r="L78" s="7"/>
      <c r="M78" s="7"/>
      <c r="N78" s="7"/>
      <c r="O78" s="7"/>
      <c r="P78" s="7"/>
      <c r="Q78" s="7"/>
      <c r="R78" s="7"/>
      <c r="S78" s="7"/>
      <c r="T78" s="7"/>
      <c r="U78" s="7"/>
      <c r="V78" s="7"/>
      <c r="W78" s="7"/>
      <c r="X78" s="7"/>
      <c r="Y78" s="7"/>
    </row>
    <row r="79" spans="3:25" x14ac:dyDescent="0.2">
      <c r="C79" s="7"/>
      <c r="D79" s="7"/>
      <c r="E79" s="7"/>
      <c r="F79" s="55"/>
      <c r="G79" s="56"/>
      <c r="H79" s="7"/>
      <c r="I79" s="244"/>
      <c r="J79" s="250"/>
      <c r="K79" s="8" t="s">
        <v>50</v>
      </c>
      <c r="L79" s="7"/>
      <c r="M79" s="7"/>
      <c r="N79" s="7"/>
      <c r="O79" s="7"/>
      <c r="P79" s="7"/>
      <c r="Q79" s="7"/>
      <c r="R79" s="7"/>
      <c r="S79" s="7"/>
      <c r="T79" s="7"/>
      <c r="U79" s="7"/>
      <c r="V79" s="7"/>
      <c r="W79" s="7"/>
      <c r="X79" s="7"/>
      <c r="Y79" s="7"/>
    </row>
    <row r="80" spans="3:25" x14ac:dyDescent="0.2">
      <c r="C80" s="7"/>
      <c r="D80" s="7"/>
      <c r="E80" s="7"/>
      <c r="F80" s="55"/>
      <c r="G80" s="56"/>
      <c r="H80" s="7"/>
      <c r="I80" s="244"/>
      <c r="J80" s="250"/>
      <c r="K80" s="8" t="s">
        <v>61</v>
      </c>
      <c r="L80" s="7"/>
      <c r="M80" s="7"/>
      <c r="N80" s="7"/>
      <c r="O80" s="7"/>
      <c r="P80" s="7"/>
      <c r="Q80" s="7"/>
      <c r="R80" s="7"/>
      <c r="S80" s="7"/>
      <c r="T80" s="7"/>
      <c r="U80" s="7"/>
      <c r="V80" s="7"/>
      <c r="W80" s="7"/>
      <c r="X80" s="7"/>
      <c r="Y80" s="7"/>
    </row>
    <row r="81" spans="3:25" x14ac:dyDescent="0.2">
      <c r="C81" s="7"/>
      <c r="D81" s="7"/>
      <c r="E81" s="7"/>
      <c r="F81" s="55"/>
      <c r="G81" s="56"/>
      <c r="H81" s="7"/>
      <c r="I81" s="244"/>
      <c r="J81" s="250"/>
      <c r="K81" s="8" t="s">
        <v>32</v>
      </c>
      <c r="L81" s="7"/>
      <c r="M81" s="7"/>
      <c r="N81" s="7"/>
      <c r="O81" s="7"/>
      <c r="P81" s="7"/>
      <c r="Q81" s="7"/>
      <c r="R81" s="7"/>
      <c r="S81" s="7"/>
      <c r="T81" s="7"/>
      <c r="U81" s="7"/>
      <c r="V81" s="7"/>
      <c r="W81" s="7"/>
      <c r="X81" s="7"/>
      <c r="Y81" s="7"/>
    </row>
    <row r="82" spans="3:25" x14ac:dyDescent="0.2">
      <c r="C82" s="7"/>
      <c r="D82" s="7"/>
      <c r="E82" s="7"/>
      <c r="F82" s="55"/>
      <c r="G82" s="56"/>
      <c r="H82" s="7"/>
      <c r="I82" s="244"/>
      <c r="J82" s="250"/>
      <c r="K82" s="8" t="s">
        <v>1863</v>
      </c>
      <c r="L82" s="7"/>
      <c r="M82" s="7"/>
      <c r="N82" s="7"/>
      <c r="O82" s="7"/>
      <c r="P82" s="7"/>
      <c r="Q82" s="7"/>
      <c r="R82" s="7"/>
      <c r="S82" s="7"/>
      <c r="T82" s="7"/>
      <c r="U82" s="7"/>
      <c r="V82" s="7"/>
      <c r="W82" s="7"/>
      <c r="X82" s="7"/>
      <c r="Y82" s="7"/>
    </row>
    <row r="83" spans="3:25" x14ac:dyDescent="0.2">
      <c r="C83" s="7"/>
      <c r="D83" s="7"/>
      <c r="E83" s="7"/>
      <c r="F83" s="55"/>
      <c r="G83" s="56"/>
      <c r="H83" s="7"/>
      <c r="I83" s="245"/>
      <c r="J83" s="251"/>
      <c r="K83" s="8" t="s">
        <v>1864</v>
      </c>
      <c r="L83" s="7"/>
      <c r="M83" s="7"/>
      <c r="N83" s="7"/>
      <c r="O83" s="7"/>
      <c r="P83" s="7"/>
      <c r="Q83" s="7"/>
      <c r="R83" s="7"/>
      <c r="S83" s="7"/>
      <c r="T83" s="7"/>
      <c r="U83" s="7"/>
      <c r="V83" s="7"/>
      <c r="W83" s="7"/>
      <c r="X83" s="7"/>
      <c r="Y83" s="7"/>
    </row>
    <row r="84" spans="3:25" x14ac:dyDescent="0.2">
      <c r="C84" s="7"/>
      <c r="D84" s="7"/>
      <c r="E84" s="7"/>
      <c r="F84" s="55"/>
      <c r="G84" s="56"/>
      <c r="H84" s="7"/>
      <c r="I84" s="243">
        <v>118</v>
      </c>
      <c r="J84" s="246" t="s">
        <v>1751</v>
      </c>
      <c r="K84" s="8" t="s">
        <v>1865</v>
      </c>
      <c r="L84" s="7"/>
      <c r="M84" s="7"/>
      <c r="N84" s="7"/>
      <c r="O84" s="7"/>
      <c r="P84" s="7"/>
      <c r="Q84" s="7"/>
      <c r="R84" s="7"/>
      <c r="S84" s="7"/>
      <c r="T84" s="7"/>
      <c r="U84" s="7"/>
      <c r="V84" s="7"/>
      <c r="W84" s="7"/>
      <c r="X84" s="7"/>
      <c r="Y84" s="7"/>
    </row>
    <row r="85" spans="3:25" x14ac:dyDescent="0.2">
      <c r="C85" s="7"/>
      <c r="D85" s="7"/>
      <c r="E85" s="7"/>
      <c r="F85" s="55"/>
      <c r="G85" s="56"/>
      <c r="H85" s="7"/>
      <c r="I85" s="244"/>
      <c r="J85" s="247"/>
      <c r="K85" s="8" t="s">
        <v>210</v>
      </c>
      <c r="L85" s="7"/>
      <c r="M85" s="7"/>
      <c r="N85" s="7"/>
      <c r="O85" s="7"/>
      <c r="P85" s="7"/>
      <c r="Q85" s="7"/>
      <c r="R85" s="7"/>
      <c r="S85" s="7"/>
      <c r="T85" s="7"/>
      <c r="U85" s="7"/>
      <c r="V85" s="7"/>
      <c r="W85" s="7"/>
      <c r="X85" s="7"/>
      <c r="Y85" s="7"/>
    </row>
    <row r="86" spans="3:25" x14ac:dyDescent="0.2">
      <c r="C86" s="7"/>
      <c r="D86" s="7"/>
      <c r="E86" s="7"/>
      <c r="F86" s="55"/>
      <c r="G86" s="56"/>
      <c r="H86" s="7"/>
      <c r="I86" s="244"/>
      <c r="J86" s="247"/>
      <c r="K86" s="8" t="s">
        <v>1866</v>
      </c>
      <c r="L86" s="7"/>
      <c r="M86" s="7"/>
      <c r="N86" s="7"/>
      <c r="O86" s="7"/>
      <c r="P86" s="7"/>
      <c r="Q86" s="7"/>
      <c r="R86" s="7"/>
      <c r="S86" s="7"/>
      <c r="T86" s="7"/>
      <c r="U86" s="7"/>
      <c r="V86" s="7"/>
      <c r="W86" s="7"/>
      <c r="X86" s="7"/>
      <c r="Y86" s="7"/>
    </row>
    <row r="87" spans="3:25" x14ac:dyDescent="0.2">
      <c r="C87" s="7"/>
      <c r="D87" s="7"/>
      <c r="E87" s="7"/>
      <c r="F87" s="55"/>
      <c r="G87" s="56"/>
      <c r="H87" s="7"/>
      <c r="I87" s="245"/>
      <c r="J87" s="248"/>
      <c r="K87" s="8" t="s">
        <v>1867</v>
      </c>
      <c r="L87" s="7"/>
      <c r="M87" s="7"/>
      <c r="N87" s="7"/>
      <c r="O87" s="7"/>
      <c r="P87" s="7"/>
      <c r="Q87" s="7"/>
      <c r="R87" s="7"/>
      <c r="S87" s="7"/>
      <c r="T87" s="7"/>
      <c r="U87" s="7"/>
      <c r="V87" s="7"/>
      <c r="W87" s="7"/>
      <c r="X87" s="7"/>
      <c r="Y87" s="7"/>
    </row>
    <row r="88" spans="3:25" x14ac:dyDescent="0.2">
      <c r="C88" s="7"/>
      <c r="D88" s="7"/>
      <c r="E88" s="7"/>
      <c r="F88" s="55"/>
      <c r="G88" s="56"/>
      <c r="H88" s="7"/>
      <c r="I88" s="76">
        <v>15</v>
      </c>
      <c r="J88" s="1" t="s">
        <v>1868</v>
      </c>
      <c r="K88" s="8" t="s">
        <v>106</v>
      </c>
      <c r="L88" s="7"/>
      <c r="M88" s="7"/>
      <c r="N88" s="7"/>
      <c r="O88" s="7"/>
      <c r="P88" s="7"/>
      <c r="Q88" s="7"/>
      <c r="R88" s="7"/>
      <c r="S88" s="7"/>
      <c r="T88" s="7"/>
      <c r="U88" s="7"/>
      <c r="V88" s="7"/>
      <c r="W88" s="7"/>
      <c r="X88" s="7"/>
      <c r="Y88" s="7"/>
    </row>
    <row r="89" spans="3:25" x14ac:dyDescent="0.2">
      <c r="C89" s="7"/>
      <c r="D89" s="7"/>
      <c r="E89" s="7"/>
      <c r="F89" s="55"/>
      <c r="G89" s="56"/>
      <c r="H89" s="7"/>
      <c r="I89" s="76">
        <v>31</v>
      </c>
      <c r="J89" s="1" t="s">
        <v>1869</v>
      </c>
      <c r="K89" s="8" t="s">
        <v>106</v>
      </c>
      <c r="L89" s="7"/>
      <c r="M89" s="7"/>
      <c r="N89" s="7"/>
      <c r="O89" s="7"/>
      <c r="P89" s="7"/>
      <c r="Q89" s="7"/>
      <c r="R89" s="7"/>
      <c r="S89" s="7"/>
      <c r="T89" s="7"/>
      <c r="U89" s="7"/>
      <c r="V89" s="7"/>
      <c r="W89" s="7"/>
      <c r="X89" s="7"/>
      <c r="Y89" s="7"/>
    </row>
    <row r="90" spans="3:25" x14ac:dyDescent="0.2">
      <c r="C90" s="7"/>
      <c r="D90" s="7"/>
      <c r="E90" s="7"/>
      <c r="F90" s="55"/>
      <c r="G90" s="56"/>
      <c r="H90" s="7"/>
      <c r="I90" s="76">
        <v>48</v>
      </c>
      <c r="J90" s="1" t="s">
        <v>1688</v>
      </c>
      <c r="K90" s="8" t="s">
        <v>106</v>
      </c>
      <c r="L90" s="7"/>
      <c r="M90" s="7"/>
      <c r="N90" s="7"/>
      <c r="O90" s="7"/>
      <c r="P90" s="7"/>
      <c r="Q90" s="7"/>
      <c r="R90" s="7"/>
      <c r="S90" s="7"/>
      <c r="T90" s="7"/>
      <c r="U90" s="7"/>
      <c r="V90" s="7"/>
      <c r="W90" s="7"/>
      <c r="X90" s="7"/>
      <c r="Y90" s="7"/>
    </row>
    <row r="91" spans="3:25" x14ac:dyDescent="0.2">
      <c r="C91" s="7"/>
      <c r="D91" s="7"/>
      <c r="E91" s="7"/>
      <c r="F91" s="55"/>
      <c r="G91" s="56"/>
      <c r="H91" s="7"/>
      <c r="I91" s="76">
        <v>51</v>
      </c>
      <c r="J91" s="1" t="s">
        <v>1691</v>
      </c>
      <c r="K91" s="8" t="s">
        <v>106</v>
      </c>
      <c r="L91" s="7"/>
      <c r="M91" s="7"/>
      <c r="N91" s="7"/>
      <c r="O91" s="7"/>
      <c r="P91" s="7"/>
      <c r="Q91" s="7"/>
      <c r="R91" s="7"/>
      <c r="S91" s="7"/>
      <c r="T91" s="7"/>
      <c r="U91" s="7"/>
      <c r="V91" s="7"/>
      <c r="W91" s="7"/>
      <c r="X91" s="7"/>
      <c r="Y91" s="7"/>
    </row>
    <row r="92" spans="3:25" x14ac:dyDescent="0.2">
      <c r="C92" s="7"/>
      <c r="D92" s="7"/>
      <c r="E92" s="7"/>
      <c r="F92" s="55"/>
      <c r="G92" s="56"/>
      <c r="H92" s="7"/>
      <c r="I92" s="76">
        <v>54</v>
      </c>
      <c r="J92" s="1" t="s">
        <v>1694</v>
      </c>
      <c r="K92" s="8" t="s">
        <v>106</v>
      </c>
      <c r="L92" s="7"/>
      <c r="M92" s="7"/>
      <c r="N92" s="7"/>
      <c r="O92" s="7"/>
      <c r="P92" s="7"/>
      <c r="Q92" s="7"/>
      <c r="R92" s="7"/>
      <c r="S92" s="7"/>
      <c r="T92" s="7"/>
      <c r="U92" s="7"/>
      <c r="V92" s="7"/>
      <c r="W92" s="7"/>
      <c r="X92" s="7"/>
      <c r="Y92" s="7"/>
    </row>
    <row r="93" spans="3:25" ht="13.5" thickBot="1" x14ac:dyDescent="0.25">
      <c r="C93" s="7"/>
      <c r="D93" s="7"/>
      <c r="E93" s="7"/>
      <c r="F93" s="55"/>
      <c r="G93" s="56"/>
      <c r="H93" s="7"/>
      <c r="I93" s="77">
        <v>57</v>
      </c>
      <c r="J93" s="78" t="s">
        <v>1870</v>
      </c>
      <c r="K93" s="79" t="s">
        <v>106</v>
      </c>
      <c r="L93" s="7"/>
      <c r="M93" s="7"/>
      <c r="N93" s="7"/>
      <c r="O93" s="7"/>
      <c r="P93" s="7"/>
      <c r="Q93" s="7"/>
      <c r="R93" s="7"/>
      <c r="S93" s="7"/>
      <c r="T93" s="7"/>
      <c r="U93" s="7"/>
      <c r="V93" s="7"/>
      <c r="W93" s="7"/>
      <c r="X93" s="7"/>
      <c r="Y93" s="7"/>
    </row>
    <row r="94" spans="3:25" x14ac:dyDescent="0.2">
      <c r="C94" s="7"/>
      <c r="D94" s="7"/>
      <c r="E94" s="7"/>
      <c r="F94" s="55"/>
      <c r="G94" s="56"/>
      <c r="H94" s="7"/>
      <c r="L94" s="7"/>
      <c r="M94" s="7"/>
      <c r="N94" s="7"/>
      <c r="O94" s="7"/>
      <c r="P94" s="7"/>
      <c r="Q94" s="7"/>
      <c r="R94" s="7"/>
      <c r="S94" s="7"/>
      <c r="T94" s="7"/>
      <c r="U94" s="7"/>
      <c r="V94" s="7"/>
      <c r="W94" s="7"/>
      <c r="X94" s="7"/>
      <c r="Y94" s="7"/>
    </row>
    <row r="95" spans="3:25" x14ac:dyDescent="0.2">
      <c r="C95" s="7"/>
      <c r="D95" s="7"/>
      <c r="E95" s="7"/>
      <c r="F95" s="55"/>
      <c r="G95" s="56"/>
      <c r="H95" s="7"/>
      <c r="I95" s="7"/>
      <c r="J95" s="7"/>
      <c r="K95" s="7"/>
      <c r="L95" s="7"/>
      <c r="M95" s="7"/>
      <c r="N95" s="7"/>
      <c r="O95" s="7"/>
      <c r="P95" s="7"/>
      <c r="Q95" s="7"/>
      <c r="R95" s="7"/>
      <c r="S95" s="7"/>
      <c r="T95" s="7"/>
      <c r="U95" s="7"/>
      <c r="V95" s="7"/>
      <c r="W95" s="7"/>
      <c r="X95" s="7"/>
      <c r="Y95" s="7"/>
    </row>
    <row r="96" spans="3:25" x14ac:dyDescent="0.2">
      <c r="C96" s="7"/>
      <c r="D96" s="7"/>
      <c r="E96" s="7"/>
      <c r="F96" s="55"/>
      <c r="G96" s="56"/>
      <c r="H96" s="7"/>
      <c r="I96" s="7"/>
      <c r="J96" s="7"/>
      <c r="K96" s="7"/>
      <c r="L96" s="7"/>
      <c r="M96" s="7"/>
      <c r="N96" s="7"/>
      <c r="O96" s="7"/>
      <c r="P96" s="7"/>
      <c r="Q96" s="7"/>
      <c r="R96" s="7"/>
      <c r="S96" s="7"/>
      <c r="T96" s="7"/>
      <c r="U96" s="7"/>
      <c r="V96" s="7"/>
      <c r="W96" s="7"/>
      <c r="X96" s="7"/>
      <c r="Y96" s="7"/>
    </row>
    <row r="97" spans="3:25" x14ac:dyDescent="0.2">
      <c r="C97" s="7"/>
      <c r="D97" s="7"/>
      <c r="E97" s="7"/>
      <c r="F97" s="55"/>
      <c r="G97" s="56"/>
      <c r="H97" s="7"/>
      <c r="I97" s="7"/>
      <c r="J97" s="7"/>
      <c r="K97" s="7"/>
      <c r="L97" s="7"/>
      <c r="M97" s="7"/>
      <c r="N97" s="7"/>
      <c r="O97" s="7"/>
      <c r="P97" s="7"/>
      <c r="Q97" s="7"/>
      <c r="R97" s="7"/>
      <c r="S97" s="7"/>
      <c r="T97" s="7"/>
      <c r="U97" s="7"/>
      <c r="V97" s="7"/>
      <c r="W97" s="7"/>
      <c r="X97" s="7"/>
      <c r="Y97" s="7"/>
    </row>
    <row r="98" spans="3:25" x14ac:dyDescent="0.2">
      <c r="C98" s="7"/>
      <c r="D98" s="7"/>
      <c r="E98" s="7"/>
      <c r="F98" s="55"/>
      <c r="G98" s="56"/>
      <c r="H98" s="7"/>
      <c r="I98" s="7"/>
      <c r="J98" s="7"/>
      <c r="K98" s="7"/>
      <c r="L98" s="7"/>
      <c r="M98" s="7"/>
      <c r="N98" s="7"/>
      <c r="O98" s="7"/>
      <c r="P98" s="7"/>
      <c r="Q98" s="7"/>
      <c r="R98" s="7"/>
      <c r="S98" s="7"/>
      <c r="T98" s="7"/>
      <c r="U98" s="7"/>
      <c r="V98" s="7"/>
      <c r="W98" s="7"/>
      <c r="X98" s="7"/>
      <c r="Y98" s="7"/>
    </row>
    <row r="99" spans="3:25" x14ac:dyDescent="0.2">
      <c r="C99" s="7"/>
      <c r="D99" s="7"/>
      <c r="E99" s="7"/>
      <c r="F99" s="55"/>
      <c r="G99" s="56"/>
      <c r="H99" s="7"/>
      <c r="I99" s="7"/>
      <c r="J99" s="7"/>
      <c r="K99" s="7"/>
      <c r="L99" s="7"/>
      <c r="M99" s="7"/>
      <c r="N99" s="7"/>
      <c r="O99" s="7"/>
      <c r="P99" s="7"/>
      <c r="Q99" s="7"/>
      <c r="R99" s="7"/>
      <c r="S99" s="7"/>
      <c r="T99" s="7"/>
      <c r="U99" s="7"/>
      <c r="V99" s="7"/>
      <c r="W99" s="7"/>
      <c r="X99" s="7"/>
      <c r="Y99" s="7"/>
    </row>
    <row r="100" spans="3:25" x14ac:dyDescent="0.2">
      <c r="C100" s="7"/>
      <c r="D100" s="7"/>
      <c r="E100" s="7"/>
      <c r="F100" s="55"/>
      <c r="G100" s="56"/>
      <c r="H100" s="7"/>
      <c r="I100" s="7"/>
      <c r="J100" s="7"/>
      <c r="K100" s="7"/>
      <c r="L100" s="7"/>
      <c r="M100" s="7"/>
      <c r="N100" s="7"/>
      <c r="O100" s="7"/>
      <c r="P100" s="7"/>
      <c r="Q100" s="7"/>
      <c r="R100" s="7"/>
      <c r="S100" s="7"/>
      <c r="T100" s="7"/>
      <c r="U100" s="7"/>
      <c r="V100" s="7"/>
      <c r="W100" s="7"/>
      <c r="X100" s="7"/>
      <c r="Y100" s="7"/>
    </row>
    <row r="101" spans="3:25" x14ac:dyDescent="0.2">
      <c r="C101" s="7"/>
      <c r="D101" s="7"/>
      <c r="E101" s="7"/>
      <c r="F101" s="55"/>
      <c r="G101" s="56"/>
      <c r="H101" s="7"/>
      <c r="I101" s="7"/>
      <c r="J101" s="7"/>
      <c r="K101" s="7"/>
      <c r="L101" s="7"/>
      <c r="M101" s="7"/>
      <c r="N101" s="7"/>
      <c r="O101" s="7"/>
      <c r="P101" s="7"/>
      <c r="Q101" s="7"/>
      <c r="R101" s="7"/>
      <c r="S101" s="7"/>
      <c r="T101" s="7"/>
      <c r="U101" s="7"/>
      <c r="V101" s="7"/>
      <c r="W101" s="7"/>
      <c r="X101" s="7"/>
      <c r="Y101" s="7"/>
    </row>
    <row r="102" spans="3:25" x14ac:dyDescent="0.2">
      <c r="C102" s="7"/>
      <c r="D102" s="7"/>
      <c r="E102" s="7"/>
      <c r="F102" s="55"/>
      <c r="G102" s="56"/>
      <c r="H102" s="7"/>
      <c r="I102" s="7"/>
      <c r="J102" s="7"/>
      <c r="K102" s="7"/>
      <c r="L102" s="7"/>
      <c r="M102" s="7"/>
      <c r="N102" s="7"/>
      <c r="O102" s="7"/>
      <c r="P102" s="7"/>
      <c r="Q102" s="7"/>
      <c r="R102" s="7"/>
      <c r="S102" s="7"/>
      <c r="T102" s="7"/>
      <c r="U102" s="7"/>
      <c r="V102" s="7"/>
      <c r="W102" s="7"/>
      <c r="X102" s="7"/>
      <c r="Y102" s="7"/>
    </row>
    <row r="103" spans="3:25" x14ac:dyDescent="0.2">
      <c r="C103" s="7"/>
      <c r="D103" s="7"/>
      <c r="E103" s="7"/>
      <c r="F103" s="55"/>
      <c r="G103" s="56"/>
      <c r="H103" s="7"/>
      <c r="I103" s="7"/>
      <c r="J103" s="7"/>
      <c r="K103" s="7"/>
      <c r="L103" s="7"/>
      <c r="M103" s="7"/>
      <c r="N103" s="7"/>
      <c r="O103" s="7"/>
      <c r="P103" s="7"/>
      <c r="Q103" s="7"/>
      <c r="R103" s="7"/>
      <c r="S103" s="7"/>
      <c r="T103" s="7"/>
      <c r="U103" s="7"/>
      <c r="V103" s="7"/>
      <c r="W103" s="7"/>
      <c r="X103" s="7"/>
      <c r="Y103" s="7"/>
    </row>
    <row r="104" spans="3:25" x14ac:dyDescent="0.2">
      <c r="C104" s="7"/>
      <c r="D104" s="7"/>
      <c r="E104" s="7"/>
      <c r="F104" s="55"/>
      <c r="H104" s="7"/>
      <c r="I104" s="7"/>
      <c r="J104" s="7"/>
      <c r="K104" s="7"/>
      <c r="L104" s="7"/>
      <c r="M104" s="7"/>
      <c r="N104" s="7"/>
      <c r="O104" s="7"/>
      <c r="P104" s="7"/>
      <c r="Q104" s="7"/>
      <c r="R104" s="7"/>
      <c r="S104" s="7"/>
      <c r="T104" s="7"/>
      <c r="U104" s="7"/>
      <c r="V104" s="7"/>
      <c r="W104" s="7"/>
      <c r="X104" s="7"/>
      <c r="Y104" s="7"/>
    </row>
    <row r="105" spans="3:25" x14ac:dyDescent="0.2">
      <c r="C105" s="7"/>
      <c r="D105" s="7"/>
      <c r="E105" s="7"/>
      <c r="F105" s="55"/>
      <c r="G105" s="56"/>
      <c r="H105" s="7"/>
      <c r="I105" s="7"/>
      <c r="J105" s="7"/>
      <c r="K105" s="7"/>
      <c r="L105" s="7"/>
      <c r="M105" s="7"/>
      <c r="N105" s="7"/>
      <c r="O105" s="7"/>
      <c r="P105" s="7"/>
      <c r="Q105" s="7"/>
      <c r="R105" s="7"/>
      <c r="S105" s="7"/>
      <c r="T105" s="7"/>
      <c r="U105" s="7"/>
      <c r="V105" s="7"/>
      <c r="W105" s="7"/>
      <c r="X105" s="7"/>
      <c r="Y105" s="7"/>
    </row>
    <row r="106" spans="3:25" x14ac:dyDescent="0.2">
      <c r="C106" s="7"/>
      <c r="D106" s="7"/>
      <c r="E106" s="7"/>
      <c r="F106" s="55"/>
      <c r="G106" s="56"/>
      <c r="H106" s="7"/>
      <c r="I106" s="7"/>
      <c r="J106" s="7"/>
      <c r="K106" s="7"/>
      <c r="L106" s="7"/>
      <c r="M106" s="7"/>
      <c r="N106" s="7"/>
      <c r="O106" s="7"/>
      <c r="P106" s="7"/>
      <c r="Q106" s="7"/>
      <c r="R106" s="7"/>
      <c r="S106" s="7"/>
      <c r="T106" s="7"/>
      <c r="U106" s="7"/>
      <c r="V106" s="7"/>
      <c r="W106" s="7"/>
      <c r="X106" s="7"/>
      <c r="Y106" s="7"/>
    </row>
    <row r="107" spans="3:25" x14ac:dyDescent="0.2">
      <c r="C107" s="7"/>
      <c r="D107" s="7"/>
      <c r="E107" s="7"/>
      <c r="F107" s="55"/>
      <c r="G107" s="56"/>
      <c r="H107" s="7"/>
      <c r="I107" s="7"/>
      <c r="J107" s="7"/>
      <c r="K107" s="7"/>
      <c r="L107" s="7"/>
      <c r="M107" s="7"/>
      <c r="N107" s="7"/>
      <c r="O107" s="7"/>
      <c r="P107" s="7"/>
      <c r="Q107" s="7"/>
      <c r="R107" s="7"/>
      <c r="S107" s="7"/>
      <c r="T107" s="7"/>
      <c r="U107" s="7"/>
      <c r="V107" s="7"/>
      <c r="W107" s="7"/>
      <c r="X107" s="7"/>
      <c r="Y107" s="7"/>
    </row>
    <row r="108" spans="3:25" ht="14.25" x14ac:dyDescent="0.2">
      <c r="C108" s="7"/>
      <c r="D108" s="7"/>
      <c r="E108" s="7"/>
      <c r="F108" s="55"/>
      <c r="G108" s="137"/>
      <c r="H108" s="7"/>
      <c r="I108" s="7"/>
      <c r="J108" s="7"/>
      <c r="K108" s="7"/>
      <c r="L108" s="7"/>
      <c r="M108" s="7"/>
      <c r="N108" s="7"/>
      <c r="O108" s="7"/>
      <c r="P108" s="7"/>
      <c r="Q108" s="7"/>
      <c r="R108" s="7"/>
      <c r="S108" s="7"/>
      <c r="T108" s="7"/>
      <c r="U108" s="7"/>
      <c r="V108" s="7"/>
      <c r="W108" s="7"/>
      <c r="X108" s="7"/>
      <c r="Y108" s="7"/>
    </row>
    <row r="109" spans="3:25" ht="14.25" x14ac:dyDescent="0.2">
      <c r="C109" s="7"/>
      <c r="D109" s="7"/>
      <c r="E109" s="7"/>
      <c r="F109" s="55"/>
      <c r="G109" s="137"/>
      <c r="H109" s="7"/>
      <c r="I109" s="7"/>
      <c r="J109" s="7"/>
      <c r="K109" s="7"/>
      <c r="L109" s="7"/>
      <c r="M109" s="7"/>
      <c r="N109" s="7"/>
      <c r="O109" s="7"/>
      <c r="P109" s="7"/>
      <c r="Q109" s="7"/>
      <c r="R109" s="7"/>
      <c r="S109" s="7"/>
      <c r="T109" s="7"/>
      <c r="U109" s="7"/>
      <c r="V109" s="7"/>
      <c r="W109" s="7"/>
      <c r="X109" s="7"/>
      <c r="Y109" s="7"/>
    </row>
    <row r="110" spans="3:25" x14ac:dyDescent="0.2">
      <c r="C110" s="7"/>
      <c r="D110" s="7"/>
      <c r="E110" s="7"/>
      <c r="F110" s="55"/>
      <c r="G110" s="56"/>
      <c r="H110" s="7"/>
      <c r="I110" s="7"/>
      <c r="J110" s="7"/>
      <c r="K110" s="7"/>
      <c r="L110" s="7"/>
      <c r="M110" s="7"/>
      <c r="N110" s="7"/>
      <c r="O110" s="7"/>
      <c r="P110" s="7"/>
      <c r="Q110" s="7"/>
      <c r="R110" s="7"/>
      <c r="S110" s="7"/>
      <c r="T110" s="7"/>
      <c r="U110" s="7"/>
      <c r="V110" s="7"/>
      <c r="W110" s="7"/>
      <c r="X110" s="7"/>
      <c r="Y110" s="7"/>
    </row>
    <row r="111" spans="3:25" ht="14.25" x14ac:dyDescent="0.2">
      <c r="C111" s="7"/>
      <c r="D111" s="7"/>
      <c r="E111" s="7"/>
      <c r="F111" s="55"/>
      <c r="G111" s="140"/>
      <c r="H111" s="7"/>
      <c r="I111" s="7"/>
      <c r="J111" s="7"/>
      <c r="K111" s="7"/>
      <c r="L111" s="7"/>
      <c r="M111" s="7"/>
      <c r="N111" s="7"/>
      <c r="O111" s="7"/>
      <c r="P111" s="7"/>
      <c r="Q111" s="7"/>
      <c r="R111" s="7"/>
      <c r="S111" s="7"/>
      <c r="T111" s="7"/>
      <c r="U111" s="7"/>
      <c r="V111" s="7"/>
      <c r="W111" s="7"/>
      <c r="X111" s="7"/>
      <c r="Y111" s="7"/>
    </row>
    <row r="112" spans="3:25" x14ac:dyDescent="0.2">
      <c r="C112" s="7"/>
      <c r="D112" s="7"/>
      <c r="E112" s="7"/>
      <c r="F112" s="55"/>
      <c r="G112" s="56"/>
      <c r="H112" s="7"/>
      <c r="I112" s="7"/>
      <c r="J112" s="7"/>
      <c r="K112" s="7"/>
      <c r="L112" s="7"/>
      <c r="M112" s="7"/>
      <c r="N112" s="7"/>
      <c r="O112" s="7"/>
      <c r="P112" s="7"/>
      <c r="Q112" s="7"/>
      <c r="R112" s="7"/>
      <c r="S112" s="7"/>
      <c r="T112" s="7"/>
      <c r="U112" s="7"/>
      <c r="V112" s="7"/>
      <c r="W112" s="7"/>
      <c r="X112" s="7"/>
      <c r="Y112" s="7"/>
    </row>
    <row r="113" spans="3:25" ht="14.25" x14ac:dyDescent="0.2">
      <c r="C113" s="7"/>
      <c r="D113" s="7"/>
      <c r="E113" s="7"/>
      <c r="F113" s="55"/>
      <c r="G113" s="137"/>
      <c r="H113" s="7"/>
      <c r="I113" s="7"/>
      <c r="J113" s="7"/>
      <c r="K113" s="7"/>
      <c r="L113" s="7"/>
      <c r="M113" s="7"/>
      <c r="N113" s="7"/>
      <c r="O113" s="7"/>
      <c r="P113" s="7"/>
      <c r="Q113" s="7"/>
      <c r="R113" s="7"/>
      <c r="S113" s="7"/>
      <c r="T113" s="7"/>
      <c r="U113" s="7"/>
      <c r="V113" s="7"/>
      <c r="W113" s="7"/>
      <c r="X113" s="7"/>
      <c r="Y113" s="7"/>
    </row>
    <row r="114" spans="3:25" x14ac:dyDescent="0.2">
      <c r="C114" s="7"/>
      <c r="D114" s="7"/>
      <c r="E114" s="7"/>
      <c r="F114" s="55"/>
      <c r="G114" s="56"/>
      <c r="H114" s="7"/>
      <c r="I114" s="7"/>
      <c r="J114" s="7"/>
      <c r="K114" s="7"/>
      <c r="L114" s="7"/>
      <c r="M114" s="7"/>
      <c r="N114" s="7"/>
      <c r="O114" s="7"/>
      <c r="P114" s="7"/>
      <c r="Q114" s="7"/>
      <c r="R114" s="7"/>
      <c r="S114" s="7"/>
      <c r="T114" s="7"/>
      <c r="U114" s="7"/>
      <c r="V114" s="7"/>
      <c r="W114" s="7"/>
      <c r="X114" s="7"/>
      <c r="Y114" s="7"/>
    </row>
    <row r="115" spans="3:25" ht="14.25" x14ac:dyDescent="0.2">
      <c r="C115" s="7"/>
      <c r="D115" s="7"/>
      <c r="E115" s="7"/>
      <c r="F115" s="55"/>
      <c r="G115" s="137"/>
      <c r="H115" s="7"/>
      <c r="I115" s="7"/>
      <c r="J115" s="7"/>
      <c r="K115" s="7"/>
      <c r="L115" s="7"/>
      <c r="M115" s="7"/>
      <c r="N115" s="7"/>
      <c r="O115" s="7"/>
      <c r="P115" s="7"/>
      <c r="Q115" s="7"/>
      <c r="R115" s="7"/>
      <c r="S115" s="7"/>
      <c r="T115" s="7"/>
      <c r="U115" s="7"/>
      <c r="V115" s="7"/>
      <c r="W115" s="7"/>
      <c r="X115" s="7"/>
      <c r="Y115" s="7"/>
    </row>
    <row r="116" spans="3:25" x14ac:dyDescent="0.2">
      <c r="C116" s="7"/>
      <c r="D116" s="7"/>
      <c r="E116" s="7"/>
      <c r="F116" s="55"/>
      <c r="G116" s="56"/>
      <c r="H116" s="7"/>
      <c r="I116" s="7"/>
      <c r="J116" s="7"/>
      <c r="K116" s="7"/>
      <c r="L116" s="7"/>
      <c r="M116" s="7"/>
      <c r="N116" s="7"/>
      <c r="O116" s="7"/>
      <c r="P116" s="7"/>
      <c r="Q116" s="7"/>
      <c r="R116" s="7"/>
      <c r="S116" s="7"/>
      <c r="T116" s="7"/>
      <c r="U116" s="7"/>
      <c r="V116" s="7"/>
      <c r="W116" s="7"/>
      <c r="X116" s="7"/>
      <c r="Y116" s="7"/>
    </row>
    <row r="117" spans="3:25" ht="15.75" x14ac:dyDescent="0.25">
      <c r="C117" s="7"/>
      <c r="D117" s="7"/>
      <c r="E117" s="7"/>
      <c r="F117" s="55"/>
      <c r="G117" s="139"/>
      <c r="H117" s="7"/>
      <c r="I117" s="7"/>
      <c r="J117" s="7"/>
      <c r="K117" s="7"/>
      <c r="L117" s="7"/>
      <c r="M117" s="7"/>
      <c r="N117" s="7"/>
      <c r="O117" s="7"/>
      <c r="P117" s="7"/>
      <c r="Q117" s="7"/>
      <c r="R117" s="7"/>
      <c r="S117" s="7"/>
      <c r="T117" s="7"/>
      <c r="U117" s="7"/>
      <c r="V117" s="7"/>
      <c r="W117" s="7"/>
      <c r="X117" s="7"/>
      <c r="Y117" s="7"/>
    </row>
    <row r="118" spans="3:25" x14ac:dyDescent="0.2">
      <c r="C118" s="7"/>
      <c r="D118" s="7"/>
      <c r="E118" s="7"/>
      <c r="F118" s="55"/>
      <c r="G118" s="56"/>
      <c r="H118" s="7"/>
      <c r="I118" s="7"/>
      <c r="J118" s="7"/>
      <c r="K118" s="7"/>
      <c r="L118" s="7"/>
      <c r="M118" s="7"/>
      <c r="N118" s="7"/>
      <c r="O118" s="7"/>
      <c r="P118" s="7"/>
      <c r="Q118" s="7"/>
      <c r="R118" s="7"/>
      <c r="S118" s="7"/>
      <c r="T118" s="7"/>
      <c r="U118" s="7"/>
      <c r="V118" s="7"/>
      <c r="W118" s="7"/>
      <c r="X118" s="7"/>
      <c r="Y118" s="7"/>
    </row>
    <row r="119" spans="3:25" x14ac:dyDescent="0.2">
      <c r="C119" s="7"/>
      <c r="D119" s="7"/>
      <c r="E119" s="7"/>
      <c r="F119" s="55"/>
      <c r="G119" s="56"/>
      <c r="H119" s="7"/>
      <c r="I119" s="7"/>
      <c r="J119" s="7"/>
      <c r="K119" s="7"/>
      <c r="L119" s="7"/>
      <c r="M119" s="7"/>
      <c r="N119" s="7"/>
      <c r="O119" s="7"/>
      <c r="P119" s="7"/>
      <c r="Q119" s="7"/>
      <c r="R119" s="7"/>
      <c r="S119" s="7"/>
      <c r="T119" s="7"/>
      <c r="U119" s="7"/>
      <c r="V119" s="7"/>
      <c r="W119" s="7"/>
      <c r="X119" s="7"/>
      <c r="Y119" s="7"/>
    </row>
    <row r="120" spans="3:25" ht="15.75" x14ac:dyDescent="0.25">
      <c r="C120" s="7"/>
      <c r="D120" s="7"/>
      <c r="E120" s="7"/>
      <c r="F120" s="55"/>
      <c r="G120" s="139"/>
      <c r="H120" s="7"/>
      <c r="I120" s="7"/>
      <c r="J120" s="7"/>
      <c r="K120" s="7"/>
      <c r="L120" s="7"/>
      <c r="M120" s="7"/>
      <c r="N120" s="7"/>
      <c r="O120" s="7"/>
      <c r="P120" s="7"/>
      <c r="Q120" s="7"/>
      <c r="R120" s="7"/>
      <c r="S120" s="7"/>
      <c r="T120" s="7"/>
      <c r="U120" s="7"/>
      <c r="V120" s="7"/>
      <c r="W120" s="7"/>
      <c r="X120" s="7"/>
      <c r="Y120" s="7"/>
    </row>
    <row r="121" spans="3:25" x14ac:dyDescent="0.2">
      <c r="C121" s="7"/>
      <c r="D121" s="7"/>
      <c r="E121" s="7"/>
      <c r="F121" s="55"/>
      <c r="G121" s="56"/>
      <c r="H121" s="7"/>
      <c r="I121" s="7"/>
      <c r="J121" s="7"/>
      <c r="K121" s="7"/>
      <c r="L121" s="7"/>
      <c r="M121" s="7"/>
      <c r="N121" s="7"/>
      <c r="O121" s="7"/>
      <c r="P121" s="7"/>
      <c r="Q121" s="7"/>
      <c r="R121" s="7"/>
      <c r="S121" s="7"/>
      <c r="T121" s="7"/>
      <c r="U121" s="7"/>
      <c r="V121" s="7"/>
      <c r="W121" s="7"/>
      <c r="X121" s="7"/>
      <c r="Y121" s="7"/>
    </row>
    <row r="122" spans="3:25" x14ac:dyDescent="0.2">
      <c r="C122" s="7"/>
      <c r="D122" s="7"/>
      <c r="E122" s="7"/>
      <c r="F122" s="55"/>
      <c r="G122" s="56"/>
      <c r="H122" s="7"/>
      <c r="I122" s="7"/>
      <c r="J122" s="7"/>
      <c r="K122" s="7"/>
      <c r="L122" s="7"/>
      <c r="M122" s="7"/>
      <c r="N122" s="7"/>
      <c r="O122" s="7"/>
      <c r="P122" s="7"/>
      <c r="Q122" s="7"/>
      <c r="R122" s="7"/>
      <c r="S122" s="7"/>
      <c r="T122" s="7"/>
      <c r="U122" s="7"/>
      <c r="V122" s="7"/>
      <c r="W122" s="7"/>
      <c r="X122" s="7"/>
      <c r="Y122" s="7"/>
    </row>
    <row r="123" spans="3:25" x14ac:dyDescent="0.2">
      <c r="C123" s="7"/>
      <c r="D123" s="7"/>
      <c r="E123" s="7"/>
      <c r="F123" s="55"/>
      <c r="G123" s="56"/>
      <c r="H123" s="7"/>
      <c r="I123" s="7"/>
      <c r="J123" s="7"/>
      <c r="K123" s="7"/>
      <c r="L123" s="7"/>
      <c r="M123" s="7"/>
      <c r="N123" s="7"/>
      <c r="O123" s="7"/>
      <c r="P123" s="7"/>
      <c r="Q123" s="7"/>
      <c r="R123" s="7"/>
      <c r="S123" s="7"/>
      <c r="T123" s="7"/>
      <c r="U123" s="7"/>
      <c r="V123" s="7"/>
      <c r="W123" s="7"/>
      <c r="X123" s="7"/>
      <c r="Y123" s="7"/>
    </row>
    <row r="124" spans="3:25" ht="14.25" x14ac:dyDescent="0.2">
      <c r="C124" s="7"/>
      <c r="D124" s="7"/>
      <c r="E124" s="7"/>
      <c r="F124" s="55"/>
      <c r="G124" s="137"/>
      <c r="H124" s="7"/>
      <c r="I124" s="7"/>
      <c r="J124" s="7"/>
      <c r="K124" s="7"/>
      <c r="L124" s="7"/>
      <c r="M124" s="7"/>
      <c r="N124" s="7"/>
      <c r="O124" s="7"/>
      <c r="P124" s="7"/>
      <c r="Q124" s="7"/>
      <c r="R124" s="7"/>
      <c r="S124" s="7"/>
      <c r="T124" s="7"/>
      <c r="U124" s="7"/>
      <c r="V124" s="7"/>
      <c r="W124" s="7"/>
      <c r="X124" s="7"/>
      <c r="Y124" s="7"/>
    </row>
    <row r="125" spans="3:25" ht="42.75" x14ac:dyDescent="0.2">
      <c r="C125" s="7"/>
      <c r="D125" s="7"/>
      <c r="E125" s="7"/>
      <c r="F125" s="55"/>
      <c r="G125" s="137" t="s">
        <v>155</v>
      </c>
      <c r="H125" s="7"/>
      <c r="I125" s="7"/>
      <c r="J125" s="7"/>
      <c r="K125" s="7"/>
      <c r="L125" s="7"/>
      <c r="M125" s="7"/>
      <c r="N125" s="7"/>
      <c r="O125" s="7"/>
      <c r="P125" s="7"/>
      <c r="Q125" s="7"/>
      <c r="R125" s="7"/>
      <c r="S125" s="7"/>
      <c r="T125" s="7"/>
      <c r="U125" s="7"/>
      <c r="V125" s="7"/>
      <c r="W125" s="7"/>
      <c r="X125" s="7"/>
      <c r="Y125" s="7"/>
    </row>
    <row r="126" spans="3:25" ht="15.75" x14ac:dyDescent="0.25">
      <c r="C126" s="7"/>
      <c r="D126" s="7"/>
      <c r="E126" s="7"/>
      <c r="F126" s="55"/>
      <c r="G126" s="139"/>
      <c r="H126" s="7"/>
      <c r="I126" s="7"/>
      <c r="J126" s="7"/>
      <c r="K126" s="7"/>
      <c r="L126" s="7"/>
      <c r="M126" s="7"/>
      <c r="N126" s="7"/>
      <c r="O126" s="7"/>
      <c r="P126" s="7"/>
      <c r="Q126" s="7"/>
      <c r="R126" s="7"/>
      <c r="S126" s="7"/>
      <c r="T126" s="7"/>
      <c r="U126" s="7"/>
      <c r="V126" s="7"/>
      <c r="W126" s="7"/>
      <c r="X126" s="7"/>
      <c r="Y126" s="7"/>
    </row>
    <row r="127" spans="3:25" ht="28.5" x14ac:dyDescent="0.2">
      <c r="C127" s="7"/>
      <c r="D127" s="7"/>
      <c r="E127" s="7"/>
      <c r="F127" s="55"/>
      <c r="G127" s="137" t="s">
        <v>160</v>
      </c>
      <c r="H127" s="7"/>
      <c r="I127" s="7"/>
      <c r="J127" s="7"/>
      <c r="K127" s="7"/>
      <c r="L127" s="7"/>
      <c r="M127" s="7"/>
      <c r="N127" s="7"/>
      <c r="O127" s="7"/>
      <c r="P127" s="7"/>
      <c r="Q127" s="7"/>
      <c r="R127" s="7"/>
      <c r="S127" s="7"/>
      <c r="T127" s="7"/>
      <c r="U127" s="7"/>
      <c r="V127" s="7"/>
      <c r="W127" s="7"/>
      <c r="X127" s="7"/>
      <c r="Y127" s="7"/>
    </row>
    <row r="128" spans="3:25" ht="14.25" x14ac:dyDescent="0.2">
      <c r="C128" s="7"/>
      <c r="D128" s="7"/>
      <c r="E128" s="7"/>
      <c r="F128" s="55"/>
      <c r="G128" s="137"/>
      <c r="H128" s="7"/>
      <c r="I128" s="7"/>
      <c r="J128" s="7"/>
      <c r="K128" s="7"/>
      <c r="L128" s="7"/>
      <c r="M128" s="7"/>
      <c r="N128" s="7"/>
      <c r="O128" s="7"/>
      <c r="P128" s="7"/>
      <c r="Q128" s="7"/>
      <c r="R128" s="7"/>
      <c r="S128" s="7"/>
      <c r="T128" s="7"/>
      <c r="U128" s="7"/>
      <c r="V128" s="7"/>
      <c r="W128" s="7"/>
      <c r="X128" s="7"/>
      <c r="Y128" s="7"/>
    </row>
    <row r="129" spans="3:25" ht="28.5" x14ac:dyDescent="0.2">
      <c r="C129" s="7"/>
      <c r="D129" s="7"/>
      <c r="E129" s="7"/>
      <c r="F129" s="55"/>
      <c r="G129" s="137" t="s">
        <v>161</v>
      </c>
      <c r="H129" s="7"/>
      <c r="I129" s="7"/>
      <c r="J129" s="7"/>
      <c r="K129" s="7"/>
      <c r="L129" s="7"/>
      <c r="M129" s="7"/>
      <c r="N129" s="7"/>
      <c r="O129" s="7"/>
      <c r="P129" s="7"/>
      <c r="Q129" s="7"/>
      <c r="R129" s="7"/>
      <c r="S129" s="7"/>
      <c r="T129" s="7"/>
      <c r="U129" s="7"/>
      <c r="V129" s="7"/>
      <c r="W129" s="7"/>
      <c r="X129" s="7"/>
      <c r="Y129" s="7"/>
    </row>
    <row r="130" spans="3:25" x14ac:dyDescent="0.2">
      <c r="C130" s="7"/>
      <c r="D130" s="7"/>
      <c r="E130" s="7"/>
      <c r="F130" s="55"/>
      <c r="G130" s="56"/>
      <c r="H130" s="7"/>
      <c r="I130" s="7"/>
      <c r="J130" s="7"/>
      <c r="K130" s="7"/>
      <c r="L130" s="7"/>
      <c r="M130" s="7"/>
      <c r="N130" s="7"/>
      <c r="O130" s="7"/>
      <c r="P130" s="7"/>
      <c r="Q130" s="7"/>
      <c r="R130" s="7"/>
      <c r="S130" s="7"/>
      <c r="T130" s="7"/>
      <c r="U130" s="7"/>
      <c r="V130" s="7"/>
      <c r="W130" s="7"/>
      <c r="X130" s="7"/>
      <c r="Y130" s="7"/>
    </row>
    <row r="131" spans="3:25" x14ac:dyDescent="0.2">
      <c r="C131" s="7"/>
      <c r="D131" s="7"/>
      <c r="E131" s="7"/>
      <c r="F131" s="55"/>
      <c r="G131" s="56" t="s">
        <v>163</v>
      </c>
      <c r="H131" s="7"/>
      <c r="I131" s="7"/>
      <c r="J131" s="7"/>
      <c r="K131" s="7"/>
      <c r="L131" s="7"/>
      <c r="M131" s="7"/>
      <c r="N131" s="7"/>
      <c r="O131" s="7"/>
      <c r="P131" s="7"/>
      <c r="Q131" s="7"/>
      <c r="R131" s="7"/>
      <c r="S131" s="7"/>
      <c r="T131" s="7"/>
      <c r="U131" s="7"/>
      <c r="V131" s="7"/>
      <c r="W131" s="7"/>
      <c r="X131" s="7"/>
      <c r="Y131" s="7"/>
    </row>
    <row r="132" spans="3:25" x14ac:dyDescent="0.2">
      <c r="C132" s="7"/>
      <c r="D132" s="7"/>
      <c r="E132" s="7"/>
      <c r="F132" s="55"/>
      <c r="G132" s="56"/>
      <c r="H132" s="7"/>
      <c r="I132" s="7"/>
      <c r="J132" s="7"/>
      <c r="K132" s="7"/>
      <c r="L132" s="7"/>
      <c r="M132" s="7"/>
      <c r="N132" s="7"/>
      <c r="O132" s="7"/>
      <c r="P132" s="7"/>
      <c r="Q132" s="7"/>
      <c r="R132" s="7"/>
      <c r="S132" s="7"/>
      <c r="T132" s="7"/>
      <c r="U132" s="7"/>
      <c r="V132" s="7"/>
      <c r="W132" s="7"/>
      <c r="X132" s="7"/>
      <c r="Y132" s="7"/>
    </row>
    <row r="133" spans="3:25" x14ac:dyDescent="0.2">
      <c r="C133" s="7"/>
      <c r="D133" s="7"/>
      <c r="E133" s="7"/>
      <c r="F133" s="55"/>
      <c r="G133" s="56"/>
      <c r="H133" s="7"/>
      <c r="I133" s="7"/>
      <c r="J133" s="7"/>
      <c r="K133" s="7"/>
      <c r="L133" s="7"/>
      <c r="M133" s="7"/>
      <c r="N133" s="7"/>
      <c r="O133" s="7"/>
      <c r="P133" s="7"/>
      <c r="Q133" s="7"/>
      <c r="R133" s="7"/>
      <c r="S133" s="7"/>
      <c r="T133" s="7"/>
      <c r="U133" s="7"/>
      <c r="V133" s="7"/>
      <c r="W133" s="7"/>
      <c r="X133" s="7"/>
      <c r="Y133" s="7"/>
    </row>
    <row r="134" spans="3:25" ht="14.25" x14ac:dyDescent="0.2">
      <c r="C134" s="7"/>
      <c r="D134" s="7"/>
      <c r="E134" s="7"/>
      <c r="F134" s="55"/>
      <c r="G134" s="137" t="s">
        <v>165</v>
      </c>
      <c r="H134" s="7"/>
      <c r="I134" s="7"/>
      <c r="J134" s="7"/>
      <c r="K134" s="7"/>
      <c r="L134" s="7"/>
      <c r="M134" s="7"/>
      <c r="N134" s="7"/>
      <c r="O134" s="7"/>
      <c r="P134" s="7"/>
      <c r="Q134" s="7"/>
      <c r="R134" s="7"/>
      <c r="S134" s="7"/>
      <c r="T134" s="7"/>
      <c r="U134" s="7"/>
      <c r="V134" s="7"/>
      <c r="W134" s="7"/>
      <c r="X134" s="7"/>
      <c r="Y134" s="7"/>
    </row>
    <row r="135" spans="3:25" x14ac:dyDescent="0.2">
      <c r="C135" s="7"/>
      <c r="D135" s="7"/>
      <c r="E135" s="7"/>
      <c r="F135" s="55"/>
      <c r="G135" s="56"/>
      <c r="H135" s="7"/>
      <c r="I135" s="7"/>
      <c r="J135" s="7"/>
      <c r="K135" s="7"/>
      <c r="L135" s="7"/>
      <c r="M135" s="7"/>
      <c r="N135" s="7"/>
      <c r="O135" s="7"/>
      <c r="P135" s="7"/>
      <c r="Q135" s="7"/>
      <c r="R135" s="7"/>
      <c r="S135" s="7"/>
      <c r="T135" s="7"/>
      <c r="U135" s="7"/>
      <c r="V135" s="7"/>
      <c r="W135" s="7"/>
      <c r="X135" s="7"/>
      <c r="Y135" s="7"/>
    </row>
    <row r="136" spans="3:25" ht="14.25" x14ac:dyDescent="0.2">
      <c r="C136" s="7"/>
      <c r="D136" s="7"/>
      <c r="E136" s="7"/>
      <c r="F136" s="55"/>
      <c r="G136" s="137" t="s">
        <v>1871</v>
      </c>
      <c r="H136" s="7"/>
      <c r="I136" s="7"/>
      <c r="J136" s="7"/>
      <c r="K136" s="7"/>
      <c r="L136" s="7"/>
      <c r="M136" s="7"/>
      <c r="N136" s="7"/>
      <c r="O136" s="7"/>
      <c r="P136" s="7"/>
      <c r="Q136" s="7"/>
      <c r="R136" s="7"/>
      <c r="S136" s="7"/>
      <c r="T136" s="7"/>
      <c r="U136" s="7"/>
      <c r="V136" s="7"/>
      <c r="W136" s="7"/>
      <c r="X136" s="7"/>
      <c r="Y136" s="7"/>
    </row>
    <row r="137" spans="3:25" x14ac:dyDescent="0.2">
      <c r="C137" s="7"/>
      <c r="D137" s="7"/>
      <c r="E137" s="7"/>
      <c r="F137" s="55"/>
      <c r="G137" s="56"/>
      <c r="H137" s="7"/>
      <c r="I137" s="7"/>
      <c r="J137" s="7"/>
      <c r="K137" s="7"/>
      <c r="L137" s="7"/>
      <c r="M137" s="7"/>
      <c r="N137" s="7"/>
      <c r="O137" s="7"/>
      <c r="P137" s="7"/>
      <c r="Q137" s="7"/>
      <c r="R137" s="7"/>
      <c r="S137" s="7"/>
      <c r="T137" s="7"/>
      <c r="U137" s="7"/>
      <c r="V137" s="7"/>
      <c r="W137" s="7"/>
      <c r="X137" s="7"/>
      <c r="Y137" s="7"/>
    </row>
    <row r="138" spans="3:25" x14ac:dyDescent="0.2">
      <c r="C138" s="7"/>
      <c r="D138" s="7"/>
      <c r="E138" s="7"/>
      <c r="F138" s="55"/>
      <c r="G138" s="56"/>
      <c r="H138" s="7"/>
      <c r="I138" s="7"/>
      <c r="J138" s="7"/>
      <c r="K138" s="7"/>
      <c r="L138" s="7"/>
      <c r="M138" s="7"/>
      <c r="N138" s="7"/>
      <c r="O138" s="7"/>
      <c r="P138" s="7"/>
      <c r="Q138" s="7"/>
      <c r="R138" s="7"/>
      <c r="S138" s="7"/>
      <c r="T138" s="7"/>
      <c r="U138" s="7"/>
      <c r="V138" s="7"/>
      <c r="W138" s="7"/>
      <c r="X138" s="7"/>
      <c r="Y138" s="7"/>
    </row>
    <row r="139" spans="3:25" x14ac:dyDescent="0.2">
      <c r="C139" s="7"/>
      <c r="D139" s="7"/>
      <c r="E139" s="7"/>
      <c r="F139" s="55"/>
      <c r="G139" s="56"/>
      <c r="H139" s="7"/>
      <c r="I139" s="7"/>
      <c r="J139" s="7"/>
      <c r="K139" s="7"/>
      <c r="L139" s="7"/>
      <c r="M139" s="7"/>
      <c r="N139" s="7"/>
      <c r="O139" s="7"/>
      <c r="P139" s="7"/>
      <c r="Q139" s="7"/>
      <c r="R139" s="7"/>
      <c r="S139" s="7"/>
      <c r="T139" s="7"/>
      <c r="U139" s="7"/>
      <c r="V139" s="7"/>
      <c r="W139" s="7"/>
      <c r="X139" s="7"/>
      <c r="Y139" s="7"/>
    </row>
    <row r="140" spans="3:25" ht="63.75" x14ac:dyDescent="0.2">
      <c r="C140" s="7"/>
      <c r="D140" s="7"/>
      <c r="E140" s="7"/>
      <c r="F140" s="55"/>
      <c r="G140" s="56" t="s">
        <v>87</v>
      </c>
      <c r="H140" s="7"/>
      <c r="I140" s="7"/>
      <c r="J140" s="7"/>
      <c r="K140" s="7"/>
      <c r="L140" s="7"/>
      <c r="M140" s="7"/>
      <c r="N140" s="7"/>
      <c r="O140" s="7"/>
      <c r="P140" s="7"/>
      <c r="Q140" s="7"/>
      <c r="R140" s="7"/>
      <c r="S140" s="7"/>
      <c r="T140" s="7"/>
      <c r="U140" s="7"/>
      <c r="V140" s="7"/>
      <c r="W140" s="7"/>
      <c r="X140" s="7"/>
      <c r="Y140" s="7"/>
    </row>
    <row r="141" spans="3:25" x14ac:dyDescent="0.2">
      <c r="C141" s="7"/>
      <c r="D141" s="7"/>
      <c r="E141" s="7"/>
      <c r="F141" s="55"/>
      <c r="G141" s="56" t="s">
        <v>167</v>
      </c>
      <c r="H141" s="7"/>
      <c r="I141" s="7"/>
      <c r="J141" s="7"/>
      <c r="K141" s="7"/>
      <c r="L141" s="7"/>
      <c r="M141" s="7"/>
      <c r="N141" s="7"/>
      <c r="O141" s="7"/>
      <c r="P141" s="7"/>
      <c r="Q141" s="7"/>
      <c r="R141" s="7"/>
      <c r="S141" s="7"/>
      <c r="T141" s="7"/>
      <c r="U141" s="7"/>
      <c r="V141" s="7"/>
      <c r="W141" s="7"/>
      <c r="X141" s="7"/>
      <c r="Y141" s="7"/>
    </row>
    <row r="142" spans="3:25" ht="25.5" x14ac:dyDescent="0.2">
      <c r="C142" s="7"/>
      <c r="D142" s="7"/>
      <c r="E142" s="7"/>
      <c r="F142" s="55"/>
      <c r="G142" s="56" t="s">
        <v>169</v>
      </c>
      <c r="H142" s="7"/>
      <c r="I142" s="7"/>
      <c r="J142" s="7"/>
      <c r="K142" s="7"/>
      <c r="L142" s="7"/>
      <c r="M142" s="7"/>
      <c r="N142" s="7"/>
      <c r="O142" s="7"/>
      <c r="P142" s="7"/>
      <c r="Q142" s="7"/>
      <c r="R142" s="7"/>
      <c r="S142" s="7"/>
      <c r="T142" s="7"/>
      <c r="U142" s="7"/>
      <c r="V142" s="7"/>
      <c r="W142" s="7"/>
      <c r="X142" s="7"/>
      <c r="Y142" s="7"/>
    </row>
    <row r="143" spans="3:25" x14ac:dyDescent="0.2">
      <c r="C143" s="7"/>
      <c r="D143" s="7"/>
      <c r="E143" s="7"/>
      <c r="F143" s="55"/>
      <c r="G143" s="56" t="s">
        <v>170</v>
      </c>
      <c r="H143" s="7"/>
      <c r="I143" s="7"/>
      <c r="J143" s="7"/>
      <c r="K143" s="7"/>
      <c r="L143" s="7"/>
      <c r="M143" s="7"/>
      <c r="N143" s="7"/>
      <c r="O143" s="7"/>
      <c r="P143" s="7"/>
      <c r="Q143" s="7"/>
      <c r="R143" s="7"/>
      <c r="S143" s="7"/>
      <c r="T143" s="7"/>
      <c r="U143" s="7"/>
      <c r="V143" s="7"/>
      <c r="W143" s="7"/>
      <c r="X143" s="7"/>
      <c r="Y143" s="7"/>
    </row>
    <row r="144" spans="3:25" x14ac:dyDescent="0.2">
      <c r="C144" s="7"/>
      <c r="D144" s="7"/>
      <c r="E144" s="7"/>
      <c r="F144" s="55"/>
      <c r="G144" s="56" t="s">
        <v>175</v>
      </c>
      <c r="H144" s="7"/>
      <c r="I144" s="7"/>
      <c r="J144" s="7"/>
      <c r="K144" s="7"/>
      <c r="L144" s="7"/>
      <c r="M144" s="7"/>
      <c r="N144" s="7"/>
      <c r="O144" s="7"/>
      <c r="P144" s="7"/>
      <c r="Q144" s="7"/>
      <c r="R144" s="7"/>
      <c r="S144" s="7"/>
      <c r="T144" s="7"/>
      <c r="U144" s="7"/>
      <c r="V144" s="7"/>
      <c r="W144" s="7"/>
      <c r="X144" s="7"/>
      <c r="Y144" s="7"/>
    </row>
    <row r="145" spans="3:25" x14ac:dyDescent="0.2">
      <c r="C145" s="7"/>
      <c r="D145" s="7"/>
      <c r="E145" s="7"/>
      <c r="F145" s="55"/>
      <c r="G145" s="56" t="s">
        <v>178</v>
      </c>
      <c r="H145" s="7"/>
      <c r="I145" s="7"/>
      <c r="J145" s="7"/>
      <c r="K145" s="7"/>
      <c r="L145" s="7"/>
      <c r="M145" s="7"/>
      <c r="N145" s="7"/>
      <c r="O145" s="7"/>
      <c r="P145" s="7"/>
      <c r="Q145" s="7"/>
      <c r="R145" s="7"/>
      <c r="S145" s="7"/>
      <c r="T145" s="7"/>
      <c r="U145" s="7"/>
      <c r="V145" s="7"/>
      <c r="W145" s="7"/>
      <c r="X145" s="7"/>
      <c r="Y145" s="7"/>
    </row>
    <row r="146" spans="3:25" x14ac:dyDescent="0.2">
      <c r="C146" s="7"/>
      <c r="D146" s="7"/>
      <c r="E146" s="7"/>
      <c r="F146" s="55"/>
      <c r="G146" s="56" t="s">
        <v>181</v>
      </c>
      <c r="H146" s="7"/>
      <c r="I146" s="7"/>
      <c r="J146" s="7"/>
      <c r="K146" s="7"/>
      <c r="L146" s="7"/>
      <c r="M146" s="7"/>
      <c r="N146" s="7"/>
      <c r="O146" s="7"/>
      <c r="P146" s="7"/>
      <c r="Q146" s="7"/>
      <c r="R146" s="7"/>
      <c r="S146" s="7"/>
      <c r="T146" s="7"/>
      <c r="U146" s="7"/>
      <c r="V146" s="7"/>
      <c r="W146" s="7"/>
      <c r="X146" s="7"/>
      <c r="Y146" s="7"/>
    </row>
    <row r="147" spans="3:25" x14ac:dyDescent="0.2">
      <c r="C147" s="7"/>
      <c r="D147" s="7"/>
      <c r="E147" s="7"/>
      <c r="F147" s="55"/>
      <c r="G147" s="56" t="s">
        <v>182</v>
      </c>
      <c r="H147" s="7"/>
      <c r="I147" s="7"/>
      <c r="J147" s="7"/>
      <c r="K147" s="7"/>
      <c r="L147" s="7"/>
      <c r="M147" s="7"/>
      <c r="N147" s="7"/>
      <c r="O147" s="7"/>
      <c r="P147" s="7"/>
      <c r="Q147" s="7"/>
      <c r="R147" s="7"/>
      <c r="S147" s="7"/>
      <c r="T147" s="7"/>
      <c r="U147" s="7"/>
      <c r="V147" s="7"/>
      <c r="W147" s="7"/>
      <c r="X147" s="7"/>
      <c r="Y147" s="7"/>
    </row>
    <row r="148" spans="3:25" x14ac:dyDescent="0.2">
      <c r="C148" s="7"/>
      <c r="D148" s="7"/>
      <c r="E148" s="7"/>
      <c r="F148" s="55"/>
      <c r="G148" s="56" t="s">
        <v>183</v>
      </c>
      <c r="H148" s="7"/>
      <c r="I148" s="7"/>
      <c r="J148" s="7"/>
      <c r="K148" s="7"/>
      <c r="L148" s="7"/>
      <c r="M148" s="7"/>
      <c r="N148" s="7"/>
      <c r="O148" s="7"/>
      <c r="P148" s="7"/>
      <c r="Q148" s="7"/>
      <c r="R148" s="7"/>
      <c r="S148" s="7"/>
      <c r="T148" s="7"/>
      <c r="U148" s="7"/>
      <c r="V148" s="7"/>
      <c r="W148" s="7"/>
      <c r="X148" s="7"/>
      <c r="Y148" s="7"/>
    </row>
    <row r="149" spans="3:25" x14ac:dyDescent="0.2">
      <c r="C149" s="7"/>
      <c r="D149" s="7"/>
      <c r="E149" s="7"/>
      <c r="F149" s="55"/>
      <c r="G149" s="56" t="s">
        <v>186</v>
      </c>
      <c r="H149" s="7"/>
      <c r="I149" s="7"/>
      <c r="J149" s="7"/>
      <c r="K149" s="7"/>
      <c r="L149" s="7"/>
      <c r="M149" s="7"/>
      <c r="N149" s="7"/>
      <c r="O149" s="7"/>
      <c r="P149" s="7"/>
      <c r="Q149" s="7"/>
      <c r="R149" s="7"/>
      <c r="S149" s="7"/>
      <c r="T149" s="7"/>
      <c r="U149" s="7"/>
      <c r="V149" s="7"/>
      <c r="W149" s="7"/>
      <c r="X149" s="7"/>
      <c r="Y149" s="7"/>
    </row>
    <row r="150" spans="3:25" ht="38.25" x14ac:dyDescent="0.2">
      <c r="C150" s="7"/>
      <c r="D150" s="7"/>
      <c r="E150" s="7"/>
      <c r="F150" s="55"/>
      <c r="G150" s="56" t="s">
        <v>191</v>
      </c>
      <c r="H150" s="7"/>
      <c r="I150" s="7"/>
      <c r="J150" s="7"/>
      <c r="K150" s="7"/>
      <c r="L150" s="7"/>
      <c r="M150" s="7"/>
      <c r="N150" s="7"/>
      <c r="O150" s="7"/>
      <c r="P150" s="7"/>
      <c r="Q150" s="7"/>
      <c r="R150" s="7"/>
      <c r="S150" s="7"/>
      <c r="T150" s="7"/>
      <c r="U150" s="7"/>
      <c r="V150" s="7"/>
      <c r="W150" s="7"/>
      <c r="X150" s="7"/>
      <c r="Y150" s="7"/>
    </row>
    <row r="151" spans="3:25" ht="25.5" x14ac:dyDescent="0.2">
      <c r="C151" s="7"/>
      <c r="D151" s="7"/>
      <c r="E151" s="7"/>
      <c r="F151" s="55"/>
      <c r="G151" s="56" t="s">
        <v>192</v>
      </c>
      <c r="H151" s="7"/>
      <c r="I151" s="7"/>
      <c r="J151" s="7"/>
      <c r="K151" s="7"/>
      <c r="L151" s="7"/>
      <c r="M151" s="7"/>
      <c r="N151" s="7"/>
      <c r="O151" s="7"/>
      <c r="P151" s="7"/>
      <c r="Q151" s="7"/>
      <c r="R151" s="7"/>
      <c r="S151" s="7"/>
      <c r="T151" s="7"/>
      <c r="U151" s="7"/>
      <c r="V151" s="7"/>
      <c r="W151" s="7"/>
      <c r="X151" s="7"/>
      <c r="Y151" s="7"/>
    </row>
    <row r="152" spans="3:25" x14ac:dyDescent="0.2">
      <c r="C152" s="7"/>
      <c r="D152" s="7"/>
      <c r="E152" s="7"/>
      <c r="F152" s="55"/>
      <c r="G152" s="56" t="s">
        <v>194</v>
      </c>
      <c r="H152" s="7"/>
      <c r="I152" s="7"/>
      <c r="J152" s="7"/>
      <c r="K152" s="7"/>
      <c r="L152" s="7"/>
      <c r="M152" s="7"/>
      <c r="N152" s="7"/>
      <c r="O152" s="7"/>
      <c r="P152" s="7"/>
      <c r="Q152" s="7"/>
      <c r="R152" s="7"/>
      <c r="S152" s="7"/>
      <c r="T152" s="7"/>
      <c r="U152" s="7"/>
      <c r="V152" s="7"/>
      <c r="W152" s="7"/>
      <c r="X152" s="7"/>
      <c r="Y152" s="7"/>
    </row>
    <row r="153" spans="3:25" ht="25.5" x14ac:dyDescent="0.2">
      <c r="C153" s="7"/>
      <c r="D153" s="7"/>
      <c r="E153" s="7"/>
      <c r="F153" s="55"/>
      <c r="G153" s="56" t="s">
        <v>196</v>
      </c>
      <c r="H153" s="7"/>
      <c r="I153" s="7"/>
      <c r="J153" s="7"/>
      <c r="K153" s="7"/>
      <c r="L153" s="7"/>
      <c r="M153" s="7"/>
      <c r="N153" s="7"/>
      <c r="O153" s="7"/>
      <c r="P153" s="7"/>
      <c r="Q153" s="7"/>
      <c r="R153" s="7"/>
      <c r="S153" s="7"/>
      <c r="T153" s="7"/>
      <c r="U153" s="7"/>
      <c r="V153" s="7"/>
      <c r="W153" s="7"/>
      <c r="X153" s="7"/>
      <c r="Y153" s="7"/>
    </row>
    <row r="154" spans="3:25" x14ac:dyDescent="0.2">
      <c r="C154" s="7"/>
      <c r="D154" s="7"/>
      <c r="E154" s="7"/>
      <c r="F154" s="55"/>
      <c r="G154" s="56" t="s">
        <v>199</v>
      </c>
      <c r="H154" s="7"/>
      <c r="I154" s="7"/>
      <c r="J154" s="7"/>
      <c r="K154" s="7"/>
      <c r="L154" s="7"/>
      <c r="M154" s="7"/>
      <c r="N154" s="7"/>
      <c r="O154" s="7"/>
      <c r="P154" s="7"/>
      <c r="Q154" s="7"/>
      <c r="R154" s="7"/>
      <c r="S154" s="7"/>
      <c r="T154" s="7"/>
      <c r="U154" s="7"/>
      <c r="V154" s="7"/>
      <c r="W154" s="7"/>
      <c r="X154" s="7"/>
      <c r="Y154" s="7"/>
    </row>
    <row r="155" spans="3:25" ht="25.5" x14ac:dyDescent="0.2">
      <c r="C155" s="7"/>
      <c r="D155" s="7"/>
      <c r="E155" s="7"/>
      <c r="F155" s="136">
        <v>50</v>
      </c>
      <c r="G155" s="56" t="s">
        <v>201</v>
      </c>
      <c r="H155" s="7"/>
      <c r="I155" s="7"/>
      <c r="J155" s="7"/>
      <c r="K155" s="7"/>
      <c r="L155" s="7"/>
      <c r="M155" s="7"/>
      <c r="N155" s="7"/>
      <c r="O155" s="7"/>
      <c r="P155" s="7"/>
      <c r="Q155" s="7"/>
      <c r="R155" s="7"/>
      <c r="S155" s="7"/>
      <c r="T155" s="7"/>
      <c r="U155" s="7"/>
      <c r="V155" s="7"/>
      <c r="W155" s="7"/>
      <c r="X155" s="7"/>
      <c r="Y155" s="7"/>
    </row>
    <row r="156" spans="3:25" ht="14.25" x14ac:dyDescent="0.2">
      <c r="C156" s="7"/>
      <c r="D156" s="7"/>
      <c r="E156" s="7"/>
      <c r="F156" s="136">
        <v>13</v>
      </c>
      <c r="G156" s="56" t="s">
        <v>207</v>
      </c>
      <c r="H156" s="7"/>
      <c r="I156" s="7"/>
      <c r="J156" s="7"/>
      <c r="K156" s="7"/>
      <c r="L156" s="7"/>
      <c r="M156" s="7"/>
      <c r="N156" s="7"/>
      <c r="O156" s="7"/>
      <c r="P156" s="7"/>
      <c r="Q156" s="7"/>
      <c r="R156" s="7"/>
      <c r="S156" s="7"/>
      <c r="T156" s="7"/>
      <c r="U156" s="7"/>
      <c r="V156" s="7"/>
      <c r="W156" s="7"/>
      <c r="X156" s="7"/>
      <c r="Y156" s="7"/>
    </row>
    <row r="157" spans="3:25" ht="14.25" x14ac:dyDescent="0.2">
      <c r="C157" s="7"/>
      <c r="D157" s="7"/>
      <c r="E157" s="7"/>
      <c r="F157" s="136">
        <v>13</v>
      </c>
      <c r="G157" s="56" t="s">
        <v>208</v>
      </c>
      <c r="H157" s="7"/>
      <c r="I157" s="7"/>
      <c r="J157" s="7"/>
      <c r="K157" s="7"/>
      <c r="L157" s="7"/>
      <c r="M157" s="7"/>
      <c r="N157" s="7"/>
      <c r="O157" s="7"/>
      <c r="P157" s="7"/>
      <c r="Q157" s="7"/>
      <c r="R157" s="7"/>
      <c r="S157" s="7"/>
      <c r="T157" s="7"/>
      <c r="U157" s="7"/>
      <c r="V157" s="7"/>
      <c r="W157" s="7"/>
      <c r="X157" s="7"/>
      <c r="Y157" s="7"/>
    </row>
    <row r="158" spans="3:25" ht="14.25" x14ac:dyDescent="0.2">
      <c r="C158" s="7"/>
      <c r="D158" s="7"/>
      <c r="E158" s="7"/>
      <c r="F158" s="136">
        <v>13</v>
      </c>
      <c r="G158" s="56"/>
      <c r="H158" s="7"/>
      <c r="I158" s="7"/>
      <c r="J158" s="7"/>
      <c r="K158" s="7"/>
      <c r="L158" s="7"/>
      <c r="M158" s="7"/>
      <c r="N158" s="7"/>
      <c r="O158" s="7"/>
      <c r="P158" s="7"/>
      <c r="Q158" s="7"/>
      <c r="R158" s="7"/>
      <c r="S158" s="7"/>
      <c r="T158" s="7"/>
      <c r="U158" s="7"/>
      <c r="V158" s="7"/>
      <c r="W158" s="7"/>
      <c r="X158" s="7"/>
      <c r="Y158" s="7"/>
    </row>
    <row r="159" spans="3:25" ht="14.25" x14ac:dyDescent="0.2">
      <c r="C159" s="7"/>
      <c r="D159" s="7"/>
      <c r="E159" s="7"/>
      <c r="F159" s="136">
        <v>13</v>
      </c>
      <c r="G159" s="56"/>
      <c r="H159" s="7"/>
      <c r="I159" s="7"/>
      <c r="J159" s="7"/>
      <c r="K159" s="7"/>
      <c r="L159" s="7"/>
      <c r="M159" s="7"/>
      <c r="N159" s="7"/>
      <c r="O159" s="7"/>
      <c r="P159" s="7"/>
      <c r="Q159" s="7"/>
      <c r="R159" s="7"/>
      <c r="S159" s="7"/>
      <c r="T159" s="7"/>
      <c r="U159" s="7"/>
      <c r="V159" s="7"/>
      <c r="W159" s="7"/>
      <c r="X159" s="7"/>
      <c r="Y159" s="7"/>
    </row>
    <row r="160" spans="3:25" ht="14.25" x14ac:dyDescent="0.2">
      <c r="C160" s="7"/>
      <c r="D160" s="7"/>
      <c r="E160" s="7"/>
      <c r="F160" s="136">
        <v>13</v>
      </c>
      <c r="G160" s="56"/>
      <c r="H160" s="7"/>
      <c r="I160" s="7"/>
      <c r="J160" s="7"/>
      <c r="K160" s="7"/>
      <c r="L160" s="7"/>
      <c r="M160" s="7"/>
      <c r="N160" s="7"/>
      <c r="O160" s="7"/>
      <c r="P160" s="7"/>
      <c r="Q160" s="7"/>
      <c r="R160" s="7"/>
      <c r="S160" s="7"/>
      <c r="T160" s="7"/>
      <c r="U160" s="7"/>
      <c r="V160" s="7"/>
      <c r="W160" s="7"/>
      <c r="X160" s="7"/>
      <c r="Y160" s="7"/>
    </row>
    <row r="161" spans="3:25" ht="14.25" x14ac:dyDescent="0.2">
      <c r="C161" s="7"/>
      <c r="D161" s="7"/>
      <c r="E161" s="7"/>
      <c r="F161" s="136">
        <v>15</v>
      </c>
      <c r="G161" s="56"/>
      <c r="H161" s="7"/>
      <c r="I161" s="7"/>
      <c r="J161" s="7"/>
      <c r="K161" s="7"/>
      <c r="L161" s="7"/>
      <c r="M161" s="7"/>
      <c r="N161" s="7"/>
      <c r="O161" s="7"/>
      <c r="P161" s="7"/>
      <c r="Q161" s="7"/>
      <c r="R161" s="7"/>
      <c r="S161" s="7"/>
      <c r="T161" s="7"/>
      <c r="U161" s="7"/>
      <c r="V161" s="7"/>
      <c r="W161" s="7"/>
      <c r="X161" s="7"/>
      <c r="Y161" s="7"/>
    </row>
    <row r="162" spans="3:25" ht="14.25" x14ac:dyDescent="0.2">
      <c r="C162" s="7"/>
      <c r="D162" s="7"/>
      <c r="E162" s="7"/>
      <c r="F162" s="136">
        <v>20</v>
      </c>
      <c r="G162" s="56"/>
      <c r="H162" s="7"/>
      <c r="I162" s="7"/>
      <c r="J162" s="7"/>
      <c r="K162" s="7"/>
      <c r="L162" s="7"/>
      <c r="M162" s="7"/>
      <c r="N162" s="7"/>
      <c r="O162" s="7"/>
      <c r="P162" s="7"/>
      <c r="Q162" s="7"/>
      <c r="R162" s="7"/>
      <c r="S162" s="7"/>
      <c r="T162" s="7"/>
      <c r="U162" s="7"/>
      <c r="V162" s="7"/>
      <c r="W162" s="7"/>
      <c r="X162" s="7"/>
      <c r="Y162" s="7"/>
    </row>
    <row r="163" spans="3:25" ht="14.25" x14ac:dyDescent="0.2">
      <c r="C163" s="7"/>
      <c r="D163" s="7"/>
      <c r="E163" s="7"/>
      <c r="F163" s="136">
        <v>10</v>
      </c>
      <c r="G163" s="56"/>
      <c r="H163" s="7"/>
      <c r="I163" s="7"/>
      <c r="J163" s="7"/>
      <c r="K163" s="7"/>
      <c r="L163" s="7"/>
      <c r="M163" s="7"/>
      <c r="N163" s="7"/>
      <c r="O163" s="7"/>
      <c r="P163" s="7"/>
      <c r="Q163" s="7"/>
      <c r="R163" s="7"/>
      <c r="S163" s="7"/>
      <c r="T163" s="7"/>
      <c r="U163" s="7"/>
      <c r="V163" s="7"/>
      <c r="W163" s="7"/>
      <c r="X163" s="7"/>
      <c r="Y163" s="7"/>
    </row>
    <row r="164" spans="3:25" ht="14.25" x14ac:dyDescent="0.2">
      <c r="C164" s="7"/>
      <c r="D164" s="7"/>
      <c r="E164" s="7"/>
      <c r="F164" s="136">
        <v>10</v>
      </c>
      <c r="G164" s="56"/>
      <c r="H164" s="7"/>
      <c r="I164" s="7"/>
      <c r="J164" s="7"/>
      <c r="K164" s="7"/>
      <c r="L164" s="7"/>
      <c r="M164" s="7"/>
      <c r="N164" s="7"/>
      <c r="O164" s="7"/>
      <c r="P164" s="7"/>
      <c r="Q164" s="7"/>
      <c r="R164" s="7"/>
      <c r="S164" s="7"/>
      <c r="T164" s="7"/>
      <c r="U164" s="7"/>
      <c r="V164" s="7"/>
      <c r="W164" s="7"/>
      <c r="X164" s="7"/>
      <c r="Y164" s="7"/>
    </row>
    <row r="165" spans="3:25" ht="14.25" x14ac:dyDescent="0.2">
      <c r="C165" s="7"/>
      <c r="D165" s="7"/>
      <c r="E165" s="7"/>
      <c r="F165" s="136">
        <v>10</v>
      </c>
      <c r="G165" s="56"/>
      <c r="H165" s="7"/>
      <c r="I165" s="7"/>
      <c r="J165" s="7"/>
      <c r="K165" s="7"/>
      <c r="L165" s="7"/>
      <c r="M165" s="7"/>
      <c r="N165" s="7"/>
      <c r="O165" s="7"/>
      <c r="P165" s="7"/>
      <c r="Q165" s="7"/>
      <c r="R165" s="7"/>
      <c r="S165" s="7"/>
      <c r="T165" s="7"/>
      <c r="U165" s="7"/>
      <c r="V165" s="7"/>
      <c r="W165" s="7"/>
      <c r="X165" s="7"/>
      <c r="Y165" s="7"/>
    </row>
    <row r="166" spans="3:25" ht="14.25" x14ac:dyDescent="0.2">
      <c r="C166" s="7"/>
      <c r="D166" s="7"/>
      <c r="E166" s="7"/>
      <c r="F166" s="136">
        <v>10</v>
      </c>
      <c r="G166" s="56"/>
      <c r="H166" s="7"/>
      <c r="I166" s="7"/>
      <c r="J166" s="7"/>
      <c r="K166" s="7"/>
      <c r="L166" s="7"/>
      <c r="M166" s="7"/>
      <c r="N166" s="7"/>
      <c r="O166" s="7"/>
      <c r="P166" s="7"/>
      <c r="Q166" s="7"/>
      <c r="R166" s="7"/>
      <c r="S166" s="7"/>
      <c r="T166" s="7"/>
      <c r="U166" s="7"/>
      <c r="V166" s="7"/>
      <c r="W166" s="7"/>
      <c r="X166" s="7"/>
      <c r="Y166" s="7"/>
    </row>
    <row r="167" spans="3:25" ht="14.25" x14ac:dyDescent="0.2">
      <c r="C167" s="7"/>
      <c r="D167" s="7"/>
      <c r="E167" s="7"/>
      <c r="F167" s="136">
        <v>5</v>
      </c>
      <c r="G167" s="56"/>
      <c r="H167" s="7"/>
      <c r="I167" s="7"/>
      <c r="J167" s="7"/>
      <c r="K167" s="7"/>
      <c r="L167" s="7"/>
      <c r="M167" s="7"/>
      <c r="N167" s="7"/>
      <c r="O167" s="7"/>
      <c r="P167" s="7"/>
      <c r="Q167" s="7"/>
      <c r="R167" s="7"/>
      <c r="S167" s="7"/>
      <c r="T167" s="7"/>
      <c r="U167" s="7"/>
      <c r="V167" s="7"/>
      <c r="W167" s="7"/>
      <c r="X167" s="7"/>
      <c r="Y167" s="7"/>
    </row>
    <row r="168" spans="3:25" ht="14.25" x14ac:dyDescent="0.2">
      <c r="C168" s="7"/>
      <c r="D168" s="7"/>
      <c r="E168" s="7"/>
      <c r="F168" s="136">
        <v>5</v>
      </c>
      <c r="G168" s="56"/>
      <c r="H168" s="7"/>
      <c r="I168" s="7"/>
      <c r="J168" s="7"/>
      <c r="K168" s="7"/>
      <c r="L168" s="7"/>
      <c r="M168" s="7"/>
      <c r="N168" s="7"/>
      <c r="O168" s="7"/>
      <c r="P168" s="7"/>
      <c r="Q168" s="7"/>
      <c r="R168" s="7"/>
      <c r="S168" s="7"/>
      <c r="T168" s="7"/>
      <c r="U168" s="7"/>
      <c r="V168" s="7"/>
      <c r="W168" s="7"/>
      <c r="X168" s="7"/>
      <c r="Y168" s="7"/>
    </row>
    <row r="169" spans="3:25" ht="14.25" x14ac:dyDescent="0.2">
      <c r="C169" s="7"/>
      <c r="D169" s="7"/>
      <c r="E169" s="7"/>
      <c r="F169" s="136">
        <v>5</v>
      </c>
      <c r="G169" s="56"/>
      <c r="H169" s="7"/>
      <c r="I169" s="7"/>
      <c r="J169" s="7"/>
      <c r="K169" s="7"/>
      <c r="L169" s="7"/>
      <c r="M169" s="7"/>
      <c r="N169" s="7"/>
      <c r="O169" s="7"/>
      <c r="P169" s="7"/>
      <c r="Q169" s="7"/>
      <c r="R169" s="7"/>
      <c r="S169" s="7"/>
      <c r="T169" s="7"/>
      <c r="U169" s="7"/>
      <c r="V169" s="7"/>
      <c r="W169" s="7"/>
      <c r="X169" s="7"/>
      <c r="Y169" s="7"/>
    </row>
    <row r="170" spans="3:25" ht="14.25" x14ac:dyDescent="0.2">
      <c r="C170" s="7"/>
      <c r="D170" s="7"/>
      <c r="E170" s="7"/>
      <c r="F170" s="136">
        <v>10</v>
      </c>
      <c r="G170" s="56"/>
      <c r="H170" s="7"/>
      <c r="I170" s="7"/>
      <c r="J170" s="7"/>
      <c r="K170" s="7"/>
      <c r="L170" s="7"/>
      <c r="M170" s="7"/>
      <c r="N170" s="7"/>
      <c r="O170" s="7"/>
      <c r="P170" s="7"/>
      <c r="Q170" s="7"/>
      <c r="R170" s="7"/>
      <c r="S170" s="7"/>
      <c r="T170" s="7"/>
      <c r="U170" s="7"/>
      <c r="V170" s="7"/>
      <c r="W170" s="7"/>
      <c r="X170" s="7"/>
      <c r="Y170" s="7"/>
    </row>
    <row r="171" spans="3:25" ht="14.25" x14ac:dyDescent="0.2">
      <c r="C171" s="7"/>
      <c r="D171" s="7"/>
      <c r="E171" s="7"/>
      <c r="F171" s="136">
        <v>15</v>
      </c>
      <c r="G171" s="56"/>
      <c r="H171" s="7"/>
      <c r="I171" s="7"/>
      <c r="J171" s="7"/>
      <c r="K171" s="7"/>
      <c r="L171" s="7"/>
      <c r="M171" s="7"/>
      <c r="N171" s="7"/>
      <c r="O171" s="7"/>
      <c r="P171" s="7"/>
      <c r="Q171" s="7"/>
      <c r="R171" s="7"/>
      <c r="S171" s="7"/>
      <c r="T171" s="7"/>
      <c r="U171" s="7"/>
      <c r="V171" s="7"/>
      <c r="W171" s="7"/>
      <c r="X171" s="7"/>
      <c r="Y171" s="7"/>
    </row>
    <row r="172" spans="3:25" ht="14.25" x14ac:dyDescent="0.2">
      <c r="C172" s="7"/>
      <c r="D172" s="7"/>
      <c r="E172" s="7"/>
      <c r="F172" s="136">
        <v>5</v>
      </c>
      <c r="G172" s="56"/>
      <c r="H172" s="7"/>
      <c r="I172" s="7"/>
      <c r="J172" s="7"/>
      <c r="K172" s="7"/>
      <c r="L172" s="7"/>
      <c r="M172" s="7"/>
      <c r="N172" s="7"/>
      <c r="O172" s="7"/>
      <c r="P172" s="7"/>
      <c r="Q172" s="7"/>
      <c r="R172" s="7"/>
      <c r="S172" s="7"/>
      <c r="T172" s="7"/>
      <c r="U172" s="7"/>
      <c r="V172" s="7"/>
      <c r="W172" s="7"/>
      <c r="X172" s="7"/>
      <c r="Y172" s="7"/>
    </row>
    <row r="173" spans="3:25" ht="14.25" x14ac:dyDescent="0.2">
      <c r="C173" s="7"/>
      <c r="D173" s="7"/>
      <c r="E173" s="7"/>
      <c r="F173" s="136">
        <v>15</v>
      </c>
      <c r="G173" s="56"/>
      <c r="H173" s="7"/>
      <c r="I173" s="7"/>
      <c r="J173" s="7"/>
      <c r="K173" s="7"/>
      <c r="L173" s="7"/>
      <c r="M173" s="7"/>
      <c r="N173" s="7"/>
      <c r="O173" s="7"/>
      <c r="P173" s="7"/>
      <c r="Q173" s="7"/>
      <c r="R173" s="7"/>
      <c r="S173" s="7"/>
      <c r="T173" s="7"/>
      <c r="U173" s="7"/>
      <c r="V173" s="7"/>
      <c r="W173" s="7"/>
      <c r="X173" s="7"/>
      <c r="Y173" s="7"/>
    </row>
    <row r="174" spans="3:25" ht="14.25" x14ac:dyDescent="0.2">
      <c r="C174" s="7"/>
      <c r="D174" s="7"/>
      <c r="E174" s="7"/>
      <c r="F174" s="136">
        <v>10</v>
      </c>
      <c r="G174" s="56"/>
      <c r="H174" s="7"/>
      <c r="I174" s="7"/>
      <c r="J174" s="7"/>
      <c r="K174" s="7"/>
      <c r="L174" s="7"/>
      <c r="M174" s="7"/>
      <c r="N174" s="7"/>
      <c r="O174" s="7"/>
      <c r="P174" s="7"/>
      <c r="Q174" s="7"/>
      <c r="R174" s="7"/>
      <c r="S174" s="7"/>
      <c r="T174" s="7"/>
      <c r="U174" s="7"/>
      <c r="V174" s="7"/>
      <c r="W174" s="7"/>
      <c r="X174" s="7"/>
      <c r="Y174" s="7"/>
    </row>
    <row r="175" spans="3:25" ht="14.25" x14ac:dyDescent="0.2">
      <c r="C175" s="7"/>
      <c r="D175" s="7"/>
      <c r="E175" s="7"/>
      <c r="F175" s="136">
        <v>70</v>
      </c>
      <c r="G175" s="56"/>
      <c r="H175" s="7"/>
      <c r="I175" s="7"/>
      <c r="J175" s="7"/>
      <c r="K175" s="7"/>
      <c r="L175" s="7"/>
      <c r="M175" s="7"/>
      <c r="N175" s="7"/>
      <c r="O175" s="7"/>
      <c r="P175" s="7"/>
      <c r="Q175" s="7"/>
      <c r="R175" s="7"/>
      <c r="S175" s="7"/>
      <c r="T175" s="7"/>
      <c r="U175" s="7"/>
      <c r="V175" s="7"/>
      <c r="W175" s="7"/>
      <c r="X175" s="7"/>
      <c r="Y175" s="7"/>
    </row>
    <row r="176" spans="3:25" ht="14.25" x14ac:dyDescent="0.2">
      <c r="C176" s="7"/>
      <c r="D176" s="7"/>
      <c r="E176" s="7"/>
      <c r="F176" s="136">
        <v>20</v>
      </c>
      <c r="G176" s="56"/>
      <c r="H176" s="7"/>
      <c r="I176" s="7"/>
      <c r="J176" s="7"/>
      <c r="K176" s="7"/>
      <c r="L176" s="7"/>
      <c r="M176" s="7"/>
      <c r="N176" s="7"/>
      <c r="O176" s="7"/>
      <c r="P176" s="7"/>
      <c r="Q176" s="7"/>
      <c r="R176" s="7"/>
      <c r="S176" s="7"/>
      <c r="T176" s="7"/>
      <c r="U176" s="7"/>
      <c r="V176" s="7"/>
      <c r="W176" s="7"/>
      <c r="X176" s="7"/>
      <c r="Y176" s="7"/>
    </row>
    <row r="177" spans="3:25" ht="14.25" x14ac:dyDescent="0.2">
      <c r="C177" s="7"/>
      <c r="D177" s="7"/>
      <c r="E177" s="7"/>
      <c r="F177" s="136">
        <v>30</v>
      </c>
      <c r="G177" s="56"/>
      <c r="H177" s="7"/>
      <c r="I177" s="7"/>
      <c r="J177" s="7"/>
      <c r="K177" s="7"/>
      <c r="L177" s="7"/>
      <c r="M177" s="7"/>
      <c r="N177" s="7"/>
      <c r="O177" s="7"/>
      <c r="P177" s="7"/>
      <c r="Q177" s="7"/>
      <c r="R177" s="7"/>
      <c r="S177" s="7"/>
      <c r="T177" s="7"/>
      <c r="U177" s="7"/>
      <c r="V177" s="7"/>
      <c r="W177" s="7"/>
      <c r="X177" s="7"/>
      <c r="Y177" s="7"/>
    </row>
    <row r="178" spans="3:25" ht="14.25" x14ac:dyDescent="0.2">
      <c r="C178" s="7"/>
      <c r="D178" s="7"/>
      <c r="E178" s="7"/>
      <c r="F178" s="136">
        <v>20</v>
      </c>
      <c r="G178" s="56"/>
      <c r="H178" s="7"/>
      <c r="I178" s="7"/>
      <c r="J178" s="7"/>
      <c r="K178" s="7"/>
      <c r="L178" s="7"/>
      <c r="M178" s="7"/>
      <c r="N178" s="7"/>
      <c r="O178" s="7"/>
      <c r="P178" s="7"/>
      <c r="Q178" s="7"/>
      <c r="R178" s="7"/>
      <c r="S178" s="7"/>
      <c r="T178" s="7"/>
      <c r="U178" s="7"/>
      <c r="V178" s="7"/>
      <c r="W178" s="7"/>
      <c r="X178" s="7"/>
      <c r="Y178" s="7"/>
    </row>
    <row r="179" spans="3:25" ht="14.25" x14ac:dyDescent="0.2">
      <c r="C179" s="7"/>
      <c r="D179" s="7"/>
      <c r="E179" s="7"/>
      <c r="F179" s="136">
        <v>50</v>
      </c>
      <c r="G179" s="56"/>
      <c r="H179" s="7"/>
      <c r="I179" s="7"/>
      <c r="J179" s="7"/>
      <c r="K179" s="7"/>
      <c r="L179" s="7"/>
      <c r="M179" s="7"/>
      <c r="N179" s="7"/>
      <c r="O179" s="7"/>
      <c r="P179" s="7"/>
      <c r="Q179" s="7"/>
      <c r="R179" s="7"/>
      <c r="S179" s="7"/>
      <c r="T179" s="7"/>
      <c r="U179" s="7"/>
      <c r="V179" s="7"/>
      <c r="W179" s="7"/>
      <c r="X179" s="7"/>
      <c r="Y179" s="7"/>
    </row>
    <row r="180" spans="3:25" x14ac:dyDescent="0.2">
      <c r="C180" s="7"/>
      <c r="D180" s="7"/>
      <c r="E180" s="7"/>
      <c r="F180" s="55"/>
      <c r="G180" s="56"/>
      <c r="H180" s="7"/>
      <c r="I180" s="7"/>
      <c r="J180" s="7"/>
      <c r="K180" s="7"/>
      <c r="L180" s="7"/>
      <c r="M180" s="7"/>
      <c r="N180" s="7"/>
      <c r="O180" s="7"/>
      <c r="P180" s="7"/>
      <c r="Q180" s="7"/>
      <c r="R180" s="7"/>
      <c r="S180" s="7"/>
      <c r="T180" s="7"/>
      <c r="U180" s="7"/>
      <c r="V180" s="7"/>
      <c r="W180" s="7"/>
      <c r="X180" s="7"/>
      <c r="Y180" s="7"/>
    </row>
    <row r="181" spans="3:25" x14ac:dyDescent="0.2">
      <c r="C181" s="7"/>
      <c r="D181" s="7"/>
      <c r="E181" s="7"/>
      <c r="F181" s="55"/>
      <c r="G181" s="56"/>
      <c r="H181" s="7"/>
      <c r="I181" s="7"/>
      <c r="J181" s="7"/>
      <c r="K181" s="7"/>
      <c r="L181" s="7"/>
      <c r="M181" s="7"/>
      <c r="N181" s="7"/>
      <c r="O181" s="7"/>
      <c r="P181" s="7"/>
      <c r="Q181" s="7"/>
      <c r="R181" s="7"/>
      <c r="S181" s="7"/>
      <c r="T181" s="7"/>
      <c r="U181" s="7"/>
      <c r="V181" s="7"/>
      <c r="W181" s="7"/>
      <c r="X181" s="7"/>
      <c r="Y181" s="7"/>
    </row>
    <row r="182" spans="3:25" x14ac:dyDescent="0.2">
      <c r="C182" s="7"/>
      <c r="D182" s="7"/>
      <c r="E182" s="7"/>
      <c r="F182" s="55"/>
      <c r="G182" s="56"/>
      <c r="H182" s="7"/>
      <c r="I182" s="7"/>
      <c r="J182" s="7"/>
      <c r="K182" s="7"/>
      <c r="L182" s="7"/>
      <c r="M182" s="7"/>
      <c r="N182" s="7"/>
      <c r="O182" s="7"/>
      <c r="P182" s="7"/>
      <c r="Q182" s="7"/>
      <c r="R182" s="7"/>
      <c r="S182" s="7"/>
      <c r="T182" s="7"/>
      <c r="U182" s="7"/>
      <c r="V182" s="7"/>
      <c r="W182" s="7"/>
      <c r="X182" s="7"/>
      <c r="Y182" s="7"/>
    </row>
    <row r="183" spans="3:25" x14ac:dyDescent="0.2">
      <c r="C183" s="7"/>
      <c r="D183" s="7"/>
      <c r="E183" s="7"/>
      <c r="F183" s="55"/>
      <c r="G183" s="56"/>
      <c r="H183" s="7"/>
      <c r="I183" s="7"/>
      <c r="J183" s="7"/>
      <c r="K183" s="7"/>
      <c r="L183" s="7"/>
      <c r="M183" s="7"/>
      <c r="N183" s="7"/>
      <c r="O183" s="7"/>
      <c r="P183" s="7"/>
      <c r="Q183" s="7"/>
      <c r="R183" s="7"/>
      <c r="S183" s="7"/>
      <c r="T183" s="7"/>
      <c r="U183" s="7"/>
      <c r="V183" s="7"/>
      <c r="W183" s="7"/>
      <c r="X183" s="7"/>
      <c r="Y183" s="7"/>
    </row>
    <row r="184" spans="3:25" x14ac:dyDescent="0.2">
      <c r="C184" s="7"/>
      <c r="D184" s="7"/>
      <c r="E184" s="7"/>
      <c r="F184" s="55"/>
      <c r="G184" s="56"/>
      <c r="H184" s="7"/>
      <c r="I184" s="7"/>
      <c r="J184" s="7"/>
      <c r="K184" s="7"/>
      <c r="L184" s="7"/>
      <c r="M184" s="7"/>
      <c r="N184" s="7"/>
      <c r="O184" s="7"/>
      <c r="P184" s="7"/>
      <c r="Q184" s="7"/>
      <c r="R184" s="7"/>
      <c r="S184" s="7"/>
      <c r="T184" s="7"/>
      <c r="U184" s="7"/>
      <c r="V184" s="7"/>
      <c r="W184" s="7"/>
      <c r="X184" s="7"/>
      <c r="Y184" s="7"/>
    </row>
    <row r="185" spans="3:25" x14ac:dyDescent="0.2">
      <c r="C185" s="7"/>
      <c r="D185" s="7"/>
      <c r="E185" s="7"/>
      <c r="F185" s="55"/>
      <c r="G185" s="56"/>
      <c r="H185" s="7"/>
      <c r="I185" s="7"/>
      <c r="J185" s="7"/>
      <c r="K185" s="7"/>
      <c r="L185" s="7"/>
      <c r="M185" s="7"/>
      <c r="N185" s="7"/>
      <c r="O185" s="7"/>
      <c r="P185" s="7"/>
      <c r="Q185" s="7"/>
      <c r="R185" s="7"/>
      <c r="S185" s="7"/>
      <c r="T185" s="7"/>
      <c r="U185" s="7"/>
      <c r="V185" s="7"/>
      <c r="W185" s="7"/>
      <c r="X185" s="7"/>
      <c r="Y185" s="7"/>
    </row>
    <row r="186" spans="3:25" x14ac:dyDescent="0.2">
      <c r="C186" s="7"/>
      <c r="D186" s="7"/>
      <c r="E186" s="7"/>
      <c r="F186" s="55"/>
      <c r="G186" s="56"/>
      <c r="H186" s="7"/>
      <c r="I186" s="7"/>
      <c r="J186" s="7"/>
      <c r="K186" s="7"/>
      <c r="L186" s="7"/>
      <c r="M186" s="7"/>
      <c r="N186" s="7"/>
      <c r="O186" s="7"/>
      <c r="P186" s="7"/>
      <c r="Q186" s="7"/>
      <c r="R186" s="7"/>
      <c r="S186" s="7"/>
      <c r="T186" s="7"/>
      <c r="U186" s="7"/>
      <c r="V186" s="7"/>
      <c r="W186" s="7"/>
      <c r="X186" s="7"/>
      <c r="Y186" s="7"/>
    </row>
    <row r="187" spans="3:25" x14ac:dyDescent="0.2">
      <c r="C187" s="7"/>
      <c r="D187" s="7"/>
      <c r="E187" s="7"/>
      <c r="F187" s="55"/>
      <c r="G187" s="56"/>
      <c r="H187" s="7"/>
      <c r="I187" s="7"/>
      <c r="J187" s="7"/>
      <c r="K187" s="7"/>
      <c r="L187" s="7"/>
      <c r="M187" s="7"/>
      <c r="N187" s="7"/>
      <c r="O187" s="7"/>
      <c r="P187" s="7"/>
      <c r="Q187" s="7"/>
      <c r="R187" s="7"/>
      <c r="S187" s="7"/>
      <c r="T187" s="7"/>
      <c r="U187" s="7"/>
      <c r="V187" s="7"/>
      <c r="W187" s="7"/>
      <c r="X187" s="7"/>
      <c r="Y187" s="7"/>
    </row>
    <row r="188" spans="3:25" x14ac:dyDescent="0.2">
      <c r="C188" s="7"/>
      <c r="D188" s="7"/>
      <c r="E188" s="7"/>
      <c r="F188" s="55"/>
      <c r="G188" s="56"/>
      <c r="H188" s="7"/>
      <c r="I188" s="7"/>
      <c r="J188" s="7"/>
      <c r="K188" s="7"/>
      <c r="L188" s="7"/>
      <c r="M188" s="7"/>
      <c r="N188" s="7"/>
      <c r="O188" s="7"/>
      <c r="P188" s="7"/>
      <c r="Q188" s="7"/>
      <c r="R188" s="7"/>
      <c r="S188" s="7"/>
      <c r="T188" s="7"/>
      <c r="U188" s="7"/>
      <c r="V188" s="7"/>
      <c r="W188" s="7"/>
      <c r="X188" s="7"/>
      <c r="Y188" s="7"/>
    </row>
    <row r="189" spans="3:25" x14ac:dyDescent="0.2">
      <c r="C189" s="7"/>
      <c r="D189" s="7"/>
      <c r="E189" s="7"/>
      <c r="F189" s="55"/>
      <c r="G189" s="56"/>
      <c r="H189" s="7"/>
      <c r="I189" s="7"/>
      <c r="J189" s="7"/>
      <c r="K189" s="7"/>
      <c r="L189" s="7"/>
      <c r="M189" s="7"/>
      <c r="N189" s="7"/>
      <c r="O189" s="7"/>
      <c r="P189" s="7"/>
      <c r="Q189" s="7"/>
      <c r="R189" s="7"/>
      <c r="S189" s="7"/>
      <c r="T189" s="7"/>
      <c r="U189" s="7"/>
      <c r="V189" s="7"/>
      <c r="W189" s="7"/>
      <c r="X189" s="7"/>
      <c r="Y189" s="7"/>
    </row>
    <row r="190" spans="3:25" x14ac:dyDescent="0.2">
      <c r="C190" s="7"/>
      <c r="D190" s="7"/>
      <c r="E190" s="7"/>
      <c r="F190" s="55"/>
      <c r="G190" s="56"/>
      <c r="H190" s="7"/>
      <c r="I190" s="7"/>
      <c r="J190" s="7"/>
      <c r="K190" s="7"/>
      <c r="L190" s="7"/>
      <c r="M190" s="7"/>
      <c r="N190" s="7"/>
      <c r="O190" s="7"/>
      <c r="P190" s="7"/>
      <c r="Q190" s="7"/>
      <c r="R190" s="7"/>
      <c r="S190" s="7"/>
      <c r="T190" s="7"/>
      <c r="U190" s="7"/>
      <c r="V190" s="7"/>
      <c r="W190" s="7"/>
      <c r="X190" s="7"/>
      <c r="Y190" s="7"/>
    </row>
    <row r="191" spans="3:25" x14ac:dyDescent="0.2">
      <c r="C191" s="7"/>
      <c r="D191" s="7"/>
      <c r="E191" s="7"/>
      <c r="F191" s="55"/>
      <c r="G191" s="56"/>
      <c r="H191" s="7"/>
      <c r="I191" s="7"/>
      <c r="J191" s="7"/>
      <c r="K191" s="7"/>
      <c r="L191" s="7"/>
      <c r="M191" s="7"/>
      <c r="N191" s="7"/>
      <c r="O191" s="7"/>
      <c r="P191" s="7"/>
      <c r="Q191" s="7"/>
      <c r="R191" s="7"/>
      <c r="S191" s="7"/>
      <c r="T191" s="7"/>
      <c r="U191" s="7"/>
      <c r="V191" s="7"/>
      <c r="W191" s="7"/>
      <c r="X191" s="7"/>
      <c r="Y191" s="7"/>
    </row>
    <row r="192" spans="3:25" x14ac:dyDescent="0.2">
      <c r="C192" s="7"/>
      <c r="D192" s="7"/>
      <c r="E192" s="7"/>
      <c r="F192" s="55"/>
      <c r="G192" s="56"/>
      <c r="H192" s="7"/>
      <c r="I192" s="7"/>
      <c r="J192" s="7"/>
      <c r="K192" s="7"/>
      <c r="L192" s="7"/>
      <c r="M192" s="7"/>
      <c r="N192" s="7"/>
      <c r="O192" s="7"/>
      <c r="P192" s="7"/>
      <c r="Q192" s="7"/>
      <c r="R192" s="7"/>
      <c r="S192" s="7"/>
      <c r="T192" s="7"/>
      <c r="U192" s="7"/>
      <c r="V192" s="7"/>
      <c r="W192" s="7"/>
      <c r="X192" s="7"/>
      <c r="Y192" s="7"/>
    </row>
    <row r="193" spans="3:25" x14ac:dyDescent="0.2">
      <c r="C193" s="7"/>
      <c r="D193" s="7"/>
      <c r="E193" s="7"/>
      <c r="F193" s="55"/>
      <c r="G193" s="56"/>
      <c r="H193" s="7"/>
      <c r="I193" s="7"/>
      <c r="J193" s="7"/>
      <c r="K193" s="7"/>
      <c r="L193" s="7"/>
      <c r="M193" s="7"/>
      <c r="N193" s="7"/>
      <c r="O193" s="7"/>
      <c r="P193" s="7"/>
      <c r="Q193" s="7"/>
      <c r="R193" s="7"/>
      <c r="S193" s="7"/>
      <c r="T193" s="7"/>
      <c r="U193" s="7"/>
      <c r="V193" s="7"/>
      <c r="W193" s="7"/>
      <c r="X193" s="7"/>
      <c r="Y193" s="7"/>
    </row>
    <row r="194" spans="3:25" x14ac:dyDescent="0.2">
      <c r="C194" s="7"/>
      <c r="D194" s="7"/>
      <c r="E194" s="7"/>
      <c r="F194" s="55"/>
      <c r="G194" s="56"/>
      <c r="H194" s="7"/>
      <c r="I194" s="7"/>
      <c r="J194" s="7"/>
      <c r="K194" s="7"/>
      <c r="L194" s="7"/>
      <c r="M194" s="7"/>
      <c r="N194" s="7"/>
      <c r="O194" s="7"/>
      <c r="P194" s="7"/>
      <c r="Q194" s="7"/>
      <c r="R194" s="7"/>
      <c r="S194" s="7"/>
      <c r="T194" s="7"/>
      <c r="U194" s="7"/>
      <c r="V194" s="7"/>
      <c r="W194" s="7"/>
      <c r="X194" s="7"/>
      <c r="Y194" s="7"/>
    </row>
    <row r="195" spans="3:25" x14ac:dyDescent="0.2">
      <c r="C195" s="7"/>
      <c r="D195" s="7"/>
      <c r="E195" s="7"/>
      <c r="F195" s="55"/>
      <c r="G195" s="56"/>
      <c r="H195" s="7"/>
      <c r="I195" s="7"/>
      <c r="J195" s="7"/>
      <c r="K195" s="7"/>
      <c r="L195" s="7"/>
      <c r="M195" s="7"/>
      <c r="N195" s="7"/>
      <c r="O195" s="7"/>
      <c r="P195" s="7"/>
      <c r="Q195" s="7"/>
      <c r="R195" s="7"/>
      <c r="S195" s="7"/>
      <c r="T195" s="7"/>
      <c r="U195" s="7"/>
      <c r="V195" s="7"/>
      <c r="W195" s="7"/>
      <c r="X195" s="7"/>
      <c r="Y195" s="7"/>
    </row>
    <row r="196" spans="3:25" x14ac:dyDescent="0.2">
      <c r="C196" s="7"/>
      <c r="D196" s="7"/>
      <c r="E196" s="7"/>
      <c r="F196" s="55"/>
      <c r="G196" s="56"/>
      <c r="H196" s="7"/>
      <c r="I196" s="7"/>
      <c r="J196" s="7"/>
      <c r="K196" s="7"/>
      <c r="L196" s="7"/>
      <c r="M196" s="7"/>
      <c r="N196" s="7"/>
      <c r="O196" s="7"/>
      <c r="P196" s="7"/>
      <c r="Q196" s="7"/>
      <c r="R196" s="7"/>
      <c r="S196" s="7"/>
      <c r="T196" s="7"/>
      <c r="U196" s="7"/>
      <c r="V196" s="7"/>
      <c r="W196" s="7"/>
      <c r="X196" s="7"/>
      <c r="Y196" s="7"/>
    </row>
    <row r="197" spans="3:25" x14ac:dyDescent="0.2">
      <c r="C197" s="7"/>
      <c r="D197" s="7"/>
      <c r="E197" s="7"/>
      <c r="F197" s="55"/>
      <c r="G197" s="56"/>
      <c r="H197" s="7"/>
      <c r="I197" s="7"/>
      <c r="J197" s="7"/>
      <c r="K197" s="7"/>
      <c r="L197" s="7"/>
      <c r="M197" s="7"/>
      <c r="N197" s="7"/>
      <c r="O197" s="7"/>
      <c r="P197" s="7"/>
      <c r="Q197" s="7"/>
      <c r="R197" s="7"/>
      <c r="S197" s="7"/>
      <c r="T197" s="7"/>
      <c r="U197" s="7"/>
      <c r="V197" s="7"/>
      <c r="W197" s="7"/>
      <c r="X197" s="7"/>
      <c r="Y197" s="7"/>
    </row>
    <row r="198" spans="3:25" x14ac:dyDescent="0.2">
      <c r="C198" s="7"/>
      <c r="D198" s="7"/>
      <c r="E198" s="7"/>
      <c r="F198" s="55"/>
      <c r="G198" s="56"/>
      <c r="H198" s="7"/>
      <c r="I198" s="7"/>
      <c r="J198" s="7"/>
      <c r="K198" s="7"/>
      <c r="L198" s="7"/>
      <c r="M198" s="7"/>
      <c r="N198" s="7"/>
      <c r="O198" s="7"/>
      <c r="P198" s="7"/>
      <c r="Q198" s="7"/>
      <c r="R198" s="7"/>
      <c r="S198" s="7"/>
      <c r="T198" s="7"/>
      <c r="U198" s="7"/>
      <c r="V198" s="7"/>
      <c r="W198" s="7"/>
      <c r="X198" s="7"/>
      <c r="Y198" s="7"/>
    </row>
    <row r="199" spans="3:25" x14ac:dyDescent="0.2">
      <c r="C199" s="7"/>
      <c r="D199" s="7"/>
      <c r="E199" s="7"/>
      <c r="F199" s="55"/>
      <c r="G199" s="56"/>
      <c r="H199" s="7"/>
      <c r="I199" s="7"/>
      <c r="J199" s="7"/>
      <c r="K199" s="7"/>
      <c r="L199" s="7"/>
      <c r="M199" s="7"/>
      <c r="N199" s="7"/>
      <c r="O199" s="7"/>
      <c r="P199" s="7"/>
      <c r="Q199" s="7"/>
      <c r="R199" s="7"/>
      <c r="S199" s="7"/>
      <c r="T199" s="7"/>
      <c r="U199" s="7"/>
      <c r="V199" s="7"/>
      <c r="W199" s="7"/>
      <c r="X199" s="7"/>
      <c r="Y199" s="7"/>
    </row>
    <row r="200" spans="3:25" x14ac:dyDescent="0.2">
      <c r="C200" s="7"/>
      <c r="D200" s="7"/>
      <c r="E200" s="7"/>
      <c r="F200" s="55"/>
      <c r="G200" s="56"/>
      <c r="H200" s="7"/>
      <c r="I200" s="7"/>
      <c r="J200" s="7"/>
      <c r="K200" s="7"/>
      <c r="L200" s="7"/>
      <c r="M200" s="7"/>
      <c r="N200" s="7"/>
      <c r="O200" s="7"/>
      <c r="P200" s="7"/>
      <c r="Q200" s="7"/>
      <c r="R200" s="7"/>
      <c r="S200" s="7"/>
      <c r="T200" s="7"/>
      <c r="U200" s="7"/>
      <c r="V200" s="7"/>
      <c r="W200" s="7"/>
      <c r="X200" s="7"/>
      <c r="Y200" s="7"/>
    </row>
    <row r="201" spans="3:25" x14ac:dyDescent="0.2">
      <c r="C201" s="7"/>
      <c r="D201" s="7"/>
      <c r="E201" s="7"/>
      <c r="F201" s="55"/>
      <c r="G201" s="56"/>
      <c r="H201" s="7"/>
      <c r="I201" s="7"/>
      <c r="J201" s="7"/>
      <c r="K201" s="7"/>
      <c r="L201" s="7"/>
      <c r="M201" s="7"/>
      <c r="N201" s="7"/>
      <c r="O201" s="7"/>
      <c r="P201" s="7"/>
      <c r="Q201" s="7"/>
      <c r="R201" s="7"/>
      <c r="S201" s="7"/>
      <c r="T201" s="7"/>
      <c r="U201" s="7"/>
      <c r="V201" s="7"/>
      <c r="W201" s="7"/>
      <c r="X201" s="7"/>
      <c r="Y201" s="7"/>
    </row>
    <row r="202" spans="3:25" x14ac:dyDescent="0.2">
      <c r="C202" s="7"/>
      <c r="D202" s="7"/>
      <c r="E202" s="7"/>
      <c r="F202" s="55"/>
      <c r="G202" s="56"/>
      <c r="H202" s="7"/>
      <c r="I202" s="7"/>
      <c r="J202" s="7"/>
      <c r="K202" s="7"/>
      <c r="L202" s="7"/>
      <c r="M202" s="7"/>
      <c r="N202" s="7"/>
      <c r="O202" s="7"/>
      <c r="P202" s="7"/>
      <c r="Q202" s="7"/>
      <c r="R202" s="7"/>
      <c r="S202" s="7"/>
      <c r="T202" s="7"/>
      <c r="U202" s="7"/>
      <c r="V202" s="7"/>
      <c r="W202" s="7"/>
      <c r="X202" s="7"/>
      <c r="Y202" s="7"/>
    </row>
    <row r="203" spans="3:25" x14ac:dyDescent="0.2">
      <c r="C203" s="7"/>
      <c r="D203" s="7"/>
      <c r="E203" s="7"/>
      <c r="F203" s="55"/>
      <c r="G203" s="56"/>
      <c r="H203" s="7"/>
      <c r="I203" s="7"/>
      <c r="J203" s="7"/>
      <c r="K203" s="7"/>
      <c r="L203" s="7"/>
      <c r="M203" s="7"/>
      <c r="N203" s="7"/>
      <c r="O203" s="7"/>
      <c r="P203" s="7"/>
      <c r="Q203" s="7"/>
      <c r="R203" s="7"/>
      <c r="S203" s="7"/>
      <c r="T203" s="7"/>
      <c r="U203" s="7"/>
      <c r="V203" s="7"/>
      <c r="W203" s="7"/>
      <c r="X203" s="7"/>
      <c r="Y203" s="7"/>
    </row>
    <row r="204" spans="3:25" x14ac:dyDescent="0.2">
      <c r="C204" s="7"/>
      <c r="D204" s="7"/>
      <c r="E204" s="7"/>
      <c r="F204" s="55"/>
      <c r="G204" s="56"/>
      <c r="H204" s="7"/>
      <c r="I204" s="7"/>
      <c r="J204" s="7"/>
      <c r="K204" s="7"/>
      <c r="L204" s="7"/>
      <c r="M204" s="7"/>
      <c r="N204" s="7"/>
      <c r="O204" s="7"/>
      <c r="P204" s="7"/>
      <c r="Q204" s="7"/>
      <c r="R204" s="7"/>
      <c r="S204" s="7"/>
      <c r="T204" s="7"/>
      <c r="U204" s="7"/>
      <c r="V204" s="7"/>
      <c r="W204" s="7"/>
      <c r="X204" s="7"/>
      <c r="Y204" s="7"/>
    </row>
    <row r="205" spans="3:25" x14ac:dyDescent="0.2">
      <c r="C205" s="7"/>
      <c r="D205" s="7"/>
      <c r="E205" s="7"/>
      <c r="F205" s="55"/>
      <c r="G205" s="56"/>
      <c r="H205" s="7"/>
      <c r="I205" s="7"/>
      <c r="J205" s="7"/>
      <c r="K205" s="7"/>
      <c r="L205" s="7"/>
      <c r="M205" s="7"/>
      <c r="N205" s="7"/>
      <c r="O205" s="7"/>
      <c r="P205" s="7"/>
      <c r="Q205" s="7"/>
      <c r="R205" s="7"/>
      <c r="S205" s="7"/>
      <c r="T205" s="7"/>
      <c r="U205" s="7"/>
      <c r="V205" s="7"/>
      <c r="W205" s="7"/>
      <c r="X205" s="7"/>
      <c r="Y205" s="7"/>
    </row>
    <row r="206" spans="3:25" x14ac:dyDescent="0.2">
      <c r="C206" s="7"/>
      <c r="D206" s="7"/>
      <c r="E206" s="7"/>
      <c r="F206" s="55"/>
      <c r="G206" s="56"/>
      <c r="H206" s="7"/>
      <c r="I206" s="7"/>
      <c r="J206" s="7"/>
      <c r="K206" s="7"/>
      <c r="L206" s="7"/>
      <c r="M206" s="7"/>
      <c r="N206" s="7"/>
      <c r="O206" s="7"/>
      <c r="P206" s="7"/>
      <c r="Q206" s="7"/>
      <c r="R206" s="7"/>
      <c r="S206" s="7"/>
      <c r="T206" s="7"/>
      <c r="U206" s="7"/>
      <c r="V206" s="7"/>
      <c r="W206" s="7"/>
      <c r="X206" s="7"/>
      <c r="Y206" s="7"/>
    </row>
    <row r="207" spans="3:25" x14ac:dyDescent="0.2">
      <c r="C207" s="7"/>
      <c r="D207" s="7"/>
      <c r="E207" s="7"/>
      <c r="F207" s="55"/>
      <c r="G207" s="56"/>
      <c r="H207" s="7"/>
      <c r="I207" s="7"/>
      <c r="J207" s="7"/>
      <c r="K207" s="7"/>
      <c r="L207" s="7"/>
      <c r="M207" s="7"/>
      <c r="N207" s="7"/>
      <c r="O207" s="7"/>
      <c r="P207" s="7"/>
      <c r="Q207" s="7"/>
      <c r="R207" s="7"/>
      <c r="S207" s="7"/>
      <c r="T207" s="7"/>
      <c r="U207" s="7"/>
      <c r="V207" s="7"/>
      <c r="W207" s="7"/>
      <c r="X207" s="7"/>
      <c r="Y207" s="7"/>
    </row>
    <row r="208" spans="3:25" x14ac:dyDescent="0.2">
      <c r="C208" s="7"/>
      <c r="D208" s="7"/>
      <c r="E208" s="7"/>
      <c r="F208" s="55"/>
      <c r="G208" s="56"/>
      <c r="H208" s="7"/>
      <c r="I208" s="7"/>
      <c r="J208" s="7"/>
      <c r="K208" s="7"/>
      <c r="L208" s="7"/>
      <c r="M208" s="7"/>
      <c r="N208" s="7"/>
      <c r="O208" s="7"/>
      <c r="P208" s="7"/>
      <c r="Q208" s="7"/>
      <c r="R208" s="7"/>
      <c r="S208" s="7"/>
      <c r="T208" s="7"/>
      <c r="U208" s="7"/>
      <c r="V208" s="7"/>
      <c r="W208" s="7"/>
      <c r="X208" s="7"/>
      <c r="Y208" s="7"/>
    </row>
    <row r="209" spans="3:25" x14ac:dyDescent="0.2">
      <c r="C209" s="7"/>
      <c r="D209" s="7"/>
      <c r="E209" s="7"/>
      <c r="F209" s="55"/>
      <c r="G209" s="56"/>
      <c r="H209" s="7"/>
      <c r="I209" s="7"/>
      <c r="J209" s="7"/>
      <c r="K209" s="7"/>
      <c r="L209" s="7"/>
      <c r="M209" s="7"/>
      <c r="N209" s="7"/>
      <c r="O209" s="7"/>
      <c r="P209" s="7"/>
      <c r="Q209" s="7"/>
      <c r="R209" s="7"/>
      <c r="S209" s="7"/>
      <c r="T209" s="7"/>
      <c r="U209" s="7"/>
      <c r="V209" s="7"/>
      <c r="W209" s="7"/>
      <c r="X209" s="7"/>
      <c r="Y209" s="7"/>
    </row>
    <row r="210" spans="3:25" x14ac:dyDescent="0.2">
      <c r="C210" s="7"/>
      <c r="D210" s="7"/>
      <c r="E210" s="7"/>
      <c r="F210" s="55"/>
      <c r="G210" s="56"/>
      <c r="H210" s="7"/>
      <c r="I210" s="7"/>
      <c r="J210" s="7"/>
      <c r="K210" s="7"/>
      <c r="L210" s="7"/>
      <c r="M210" s="7"/>
      <c r="N210" s="7"/>
      <c r="O210" s="7"/>
      <c r="P210" s="7"/>
      <c r="Q210" s="7"/>
      <c r="R210" s="7"/>
      <c r="S210" s="7"/>
      <c r="T210" s="7"/>
      <c r="U210" s="7"/>
      <c r="V210" s="7"/>
      <c r="W210" s="7"/>
      <c r="X210" s="7"/>
      <c r="Y210" s="7"/>
    </row>
    <row r="211" spans="3:25" x14ac:dyDescent="0.2">
      <c r="C211" s="7"/>
      <c r="D211" s="7"/>
      <c r="E211" s="7"/>
      <c r="F211" s="55"/>
      <c r="G211" s="56"/>
      <c r="H211" s="7"/>
      <c r="I211" s="7"/>
      <c r="J211" s="7"/>
      <c r="K211" s="7"/>
      <c r="L211" s="7"/>
      <c r="M211" s="7"/>
      <c r="N211" s="7"/>
      <c r="O211" s="7"/>
      <c r="P211" s="7"/>
      <c r="Q211" s="7"/>
      <c r="R211" s="7"/>
      <c r="S211" s="7"/>
      <c r="T211" s="7"/>
      <c r="U211" s="7"/>
      <c r="V211" s="7"/>
      <c r="W211" s="7"/>
      <c r="X211" s="7"/>
      <c r="Y211" s="7"/>
    </row>
    <row r="212" spans="3:25" x14ac:dyDescent="0.2">
      <c r="C212" s="7"/>
      <c r="D212" s="7"/>
      <c r="E212" s="7"/>
      <c r="F212" s="55"/>
      <c r="G212" s="56"/>
      <c r="H212" s="7"/>
      <c r="I212" s="7"/>
      <c r="J212" s="7"/>
      <c r="K212" s="7"/>
      <c r="L212" s="7"/>
      <c r="M212" s="7"/>
      <c r="N212" s="7"/>
      <c r="O212" s="7"/>
      <c r="P212" s="7"/>
      <c r="Q212" s="7"/>
      <c r="R212" s="7"/>
      <c r="S212" s="7"/>
      <c r="T212" s="7"/>
      <c r="U212" s="7"/>
      <c r="V212" s="7"/>
      <c r="W212" s="7"/>
      <c r="X212" s="7"/>
      <c r="Y212" s="7"/>
    </row>
    <row r="213" spans="3:25" x14ac:dyDescent="0.2">
      <c r="C213" s="7"/>
      <c r="D213" s="7"/>
      <c r="E213" s="7"/>
      <c r="F213" s="55"/>
      <c r="G213" s="56"/>
      <c r="H213" s="7"/>
      <c r="I213" s="7"/>
      <c r="J213" s="7"/>
      <c r="K213" s="7"/>
      <c r="L213" s="7"/>
      <c r="M213" s="7"/>
      <c r="N213" s="7"/>
      <c r="O213" s="7"/>
      <c r="P213" s="7"/>
      <c r="Q213" s="7"/>
      <c r="R213" s="7"/>
      <c r="S213" s="7"/>
      <c r="T213" s="7"/>
      <c r="U213" s="7"/>
      <c r="V213" s="7"/>
      <c r="W213" s="7"/>
      <c r="X213" s="7"/>
      <c r="Y213" s="7"/>
    </row>
    <row r="214" spans="3:25" x14ac:dyDescent="0.2">
      <c r="C214" s="7"/>
      <c r="D214" s="7"/>
      <c r="E214" s="7"/>
      <c r="F214" s="55"/>
      <c r="G214" s="56"/>
      <c r="H214" s="7"/>
      <c r="I214" s="7"/>
      <c r="J214" s="7"/>
      <c r="K214" s="7"/>
      <c r="L214" s="7"/>
      <c r="M214" s="7"/>
      <c r="N214" s="7"/>
      <c r="O214" s="7"/>
      <c r="P214" s="7"/>
      <c r="Q214" s="7"/>
      <c r="R214" s="7"/>
      <c r="S214" s="7"/>
      <c r="T214" s="7"/>
      <c r="U214" s="7"/>
      <c r="V214" s="7"/>
      <c r="W214" s="7"/>
      <c r="X214" s="7"/>
      <c r="Y214" s="7"/>
    </row>
    <row r="215" spans="3:25" x14ac:dyDescent="0.2">
      <c r="C215" s="7"/>
      <c r="D215" s="7"/>
      <c r="E215" s="7"/>
      <c r="F215" s="55"/>
      <c r="G215" s="56"/>
      <c r="H215" s="7"/>
      <c r="I215" s="7"/>
      <c r="J215" s="7"/>
      <c r="K215" s="7"/>
      <c r="L215" s="7"/>
      <c r="M215" s="7"/>
      <c r="N215" s="7"/>
      <c r="O215" s="7"/>
      <c r="P215" s="7"/>
      <c r="Q215" s="7"/>
      <c r="R215" s="7"/>
      <c r="S215" s="7"/>
      <c r="T215" s="7"/>
      <c r="U215" s="7"/>
      <c r="V215" s="7"/>
      <c r="W215" s="7"/>
      <c r="X215" s="7"/>
      <c r="Y215" s="7"/>
    </row>
    <row r="216" spans="3:25" x14ac:dyDescent="0.2">
      <c r="C216" s="7"/>
      <c r="D216" s="7"/>
      <c r="E216" s="7"/>
      <c r="F216" s="55"/>
      <c r="G216" s="56"/>
      <c r="H216" s="7"/>
      <c r="I216" s="7"/>
      <c r="J216" s="7"/>
      <c r="K216" s="7"/>
      <c r="L216" s="7"/>
      <c r="M216" s="7"/>
      <c r="N216" s="7"/>
      <c r="O216" s="7"/>
      <c r="P216" s="7"/>
      <c r="Q216" s="7"/>
      <c r="R216" s="7"/>
      <c r="S216" s="7"/>
      <c r="T216" s="7"/>
      <c r="U216" s="7"/>
      <c r="V216" s="7"/>
      <c r="W216" s="7"/>
      <c r="X216" s="7"/>
      <c r="Y216" s="7"/>
    </row>
    <row r="217" spans="3:25" x14ac:dyDescent="0.2">
      <c r="C217" s="7"/>
      <c r="D217" s="7"/>
      <c r="E217" s="7"/>
      <c r="F217" s="55"/>
      <c r="G217" s="56"/>
      <c r="H217" s="7"/>
      <c r="I217" s="7"/>
      <c r="J217" s="7"/>
      <c r="K217" s="7"/>
      <c r="L217" s="7"/>
      <c r="M217" s="7"/>
      <c r="N217" s="7"/>
      <c r="O217" s="7"/>
      <c r="P217" s="7"/>
      <c r="Q217" s="7"/>
      <c r="R217" s="7"/>
      <c r="S217" s="7"/>
      <c r="T217" s="7"/>
      <c r="U217" s="7"/>
      <c r="V217" s="7"/>
      <c r="W217" s="7"/>
      <c r="X217" s="7"/>
      <c r="Y217" s="7"/>
    </row>
    <row r="218" spans="3:25" x14ac:dyDescent="0.2">
      <c r="C218" s="7"/>
      <c r="D218" s="7"/>
      <c r="E218" s="7"/>
      <c r="F218" s="55"/>
      <c r="G218" s="56"/>
      <c r="H218" s="7"/>
      <c r="I218" s="7"/>
      <c r="J218" s="7"/>
      <c r="K218" s="7"/>
      <c r="L218" s="7"/>
      <c r="M218" s="7"/>
      <c r="N218" s="7"/>
      <c r="O218" s="7"/>
      <c r="P218" s="7"/>
      <c r="Q218" s="7"/>
      <c r="R218" s="7"/>
      <c r="S218" s="7"/>
      <c r="T218" s="7"/>
      <c r="U218" s="7"/>
      <c r="V218" s="7"/>
      <c r="W218" s="7"/>
      <c r="X218" s="7"/>
      <c r="Y218" s="7"/>
    </row>
    <row r="219" spans="3:25" x14ac:dyDescent="0.2">
      <c r="C219" s="7"/>
      <c r="D219" s="7"/>
      <c r="E219" s="7"/>
      <c r="F219" s="55"/>
      <c r="G219" s="56"/>
      <c r="H219" s="7"/>
      <c r="I219" s="7"/>
      <c r="J219" s="7"/>
      <c r="K219" s="7"/>
      <c r="L219" s="7"/>
      <c r="M219" s="7"/>
      <c r="N219" s="7"/>
      <c r="O219" s="7"/>
      <c r="P219" s="7"/>
      <c r="Q219" s="7"/>
      <c r="R219" s="7"/>
      <c r="S219" s="7"/>
      <c r="T219" s="7"/>
      <c r="U219" s="7"/>
      <c r="V219" s="7"/>
      <c r="W219" s="7"/>
      <c r="X219" s="7"/>
      <c r="Y219" s="7"/>
    </row>
    <row r="220" spans="3:25" x14ac:dyDescent="0.2">
      <c r="C220" s="7"/>
      <c r="D220" s="7"/>
      <c r="E220" s="7"/>
      <c r="F220" s="55"/>
      <c r="G220" s="56"/>
      <c r="H220" s="7"/>
      <c r="I220" s="7"/>
      <c r="J220" s="7"/>
      <c r="K220" s="7"/>
      <c r="L220" s="7"/>
      <c r="M220" s="7"/>
      <c r="N220" s="7"/>
      <c r="O220" s="7"/>
      <c r="P220" s="7"/>
      <c r="Q220" s="7"/>
      <c r="R220" s="7"/>
      <c r="S220" s="7"/>
      <c r="T220" s="7"/>
      <c r="U220" s="7"/>
      <c r="V220" s="7"/>
      <c r="W220" s="7"/>
      <c r="X220" s="7"/>
      <c r="Y220" s="7"/>
    </row>
    <row r="221" spans="3:25" x14ac:dyDescent="0.2">
      <c r="C221" s="7"/>
      <c r="D221" s="7"/>
      <c r="E221" s="7"/>
      <c r="F221" s="55"/>
      <c r="G221" s="56"/>
      <c r="H221" s="7"/>
      <c r="I221" s="7"/>
      <c r="J221" s="7"/>
      <c r="K221" s="7"/>
      <c r="L221" s="7"/>
      <c r="M221" s="7"/>
      <c r="N221" s="7"/>
      <c r="O221" s="7"/>
      <c r="P221" s="7"/>
      <c r="Q221" s="7"/>
      <c r="R221" s="7"/>
      <c r="S221" s="7"/>
      <c r="T221" s="7"/>
      <c r="U221" s="7"/>
      <c r="V221" s="7"/>
      <c r="W221" s="7"/>
      <c r="X221" s="7"/>
      <c r="Y221" s="7"/>
    </row>
    <row r="222" spans="3:25" x14ac:dyDescent="0.2">
      <c r="C222" s="7"/>
      <c r="D222" s="7"/>
      <c r="E222" s="7"/>
      <c r="F222" s="55"/>
      <c r="G222" s="56"/>
      <c r="H222" s="7"/>
      <c r="I222" s="7"/>
      <c r="J222" s="7"/>
      <c r="K222" s="7"/>
      <c r="L222" s="7"/>
      <c r="M222" s="7"/>
      <c r="N222" s="7"/>
      <c r="O222" s="7"/>
      <c r="P222" s="7"/>
      <c r="Q222" s="7"/>
      <c r="R222" s="7"/>
      <c r="S222" s="7"/>
      <c r="T222" s="7"/>
      <c r="U222" s="7"/>
      <c r="V222" s="7"/>
      <c r="W222" s="7"/>
      <c r="X222" s="7"/>
      <c r="Y222" s="7"/>
    </row>
    <row r="223" spans="3:25" x14ac:dyDescent="0.2">
      <c r="C223" s="7"/>
      <c r="D223" s="7"/>
      <c r="E223" s="7"/>
      <c r="F223" s="55"/>
      <c r="G223" s="56"/>
      <c r="H223" s="7"/>
      <c r="I223" s="7"/>
      <c r="J223" s="7"/>
      <c r="K223" s="7"/>
      <c r="L223" s="7"/>
      <c r="M223" s="7"/>
      <c r="N223" s="7"/>
      <c r="O223" s="7"/>
      <c r="P223" s="7"/>
      <c r="Q223" s="7"/>
      <c r="R223" s="7"/>
      <c r="S223" s="7"/>
      <c r="T223" s="7"/>
      <c r="U223" s="7"/>
      <c r="V223" s="7"/>
      <c r="W223" s="7"/>
      <c r="X223" s="7"/>
      <c r="Y223" s="7"/>
    </row>
    <row r="224" spans="3:25" x14ac:dyDescent="0.2">
      <c r="C224" s="7"/>
      <c r="D224" s="7"/>
      <c r="E224" s="7"/>
      <c r="F224" s="55"/>
      <c r="G224" s="56"/>
      <c r="H224" s="7"/>
      <c r="I224" s="7"/>
      <c r="J224" s="7"/>
      <c r="K224" s="7"/>
      <c r="L224" s="7"/>
      <c r="M224" s="7"/>
      <c r="N224" s="7"/>
      <c r="O224" s="7"/>
      <c r="P224" s="7"/>
      <c r="Q224" s="7"/>
      <c r="R224" s="7"/>
      <c r="S224" s="7"/>
      <c r="T224" s="7"/>
      <c r="U224" s="7"/>
      <c r="V224" s="7"/>
      <c r="W224" s="7"/>
      <c r="X224" s="7"/>
      <c r="Y224" s="7"/>
    </row>
    <row r="225" spans="3:25" x14ac:dyDescent="0.2">
      <c r="C225" s="7"/>
      <c r="D225" s="7"/>
      <c r="E225" s="7"/>
      <c r="F225" s="55"/>
      <c r="G225" s="56"/>
      <c r="H225" s="7"/>
      <c r="I225" s="7"/>
      <c r="J225" s="7"/>
      <c r="K225" s="7"/>
      <c r="L225" s="7"/>
      <c r="M225" s="7"/>
      <c r="N225" s="7"/>
      <c r="O225" s="7"/>
      <c r="P225" s="7"/>
      <c r="Q225" s="7"/>
      <c r="R225" s="7"/>
      <c r="S225" s="7"/>
      <c r="T225" s="7"/>
      <c r="U225" s="7"/>
      <c r="V225" s="7"/>
      <c r="W225" s="7"/>
      <c r="X225" s="7"/>
      <c r="Y225" s="7"/>
    </row>
    <row r="226" spans="3:25" x14ac:dyDescent="0.2">
      <c r="C226" s="7"/>
      <c r="D226" s="7"/>
      <c r="E226" s="7"/>
      <c r="F226" s="55"/>
      <c r="G226" s="56"/>
      <c r="H226" s="7"/>
      <c r="I226" s="7"/>
      <c r="J226" s="7"/>
      <c r="K226" s="7"/>
      <c r="L226" s="7"/>
      <c r="M226" s="7"/>
      <c r="N226" s="7"/>
      <c r="O226" s="7"/>
      <c r="P226" s="7"/>
      <c r="Q226" s="7"/>
      <c r="R226" s="7"/>
      <c r="S226" s="7"/>
      <c r="T226" s="7"/>
      <c r="U226" s="7"/>
      <c r="V226" s="7"/>
      <c r="W226" s="7"/>
      <c r="X226" s="7"/>
      <c r="Y226" s="7"/>
    </row>
    <row r="227" spans="3:25" x14ac:dyDescent="0.2">
      <c r="C227" s="7"/>
      <c r="D227" s="7"/>
      <c r="E227" s="7"/>
      <c r="F227" s="55"/>
      <c r="G227" s="56"/>
      <c r="H227" s="7"/>
      <c r="I227" s="7"/>
      <c r="J227" s="7"/>
      <c r="K227" s="7"/>
      <c r="L227" s="7"/>
      <c r="M227" s="7"/>
      <c r="N227" s="7"/>
      <c r="O227" s="7"/>
      <c r="P227" s="7"/>
      <c r="Q227" s="7"/>
      <c r="R227" s="7"/>
      <c r="S227" s="7"/>
      <c r="T227" s="7"/>
      <c r="U227" s="7"/>
      <c r="V227" s="7"/>
      <c r="W227" s="7"/>
      <c r="X227" s="7"/>
      <c r="Y227" s="7"/>
    </row>
    <row r="228" spans="3:25" x14ac:dyDescent="0.2">
      <c r="C228" s="7"/>
      <c r="D228" s="7"/>
      <c r="E228" s="7"/>
      <c r="F228" s="55"/>
      <c r="G228" s="56"/>
      <c r="H228" s="7"/>
      <c r="I228" s="7"/>
      <c r="J228" s="7"/>
      <c r="K228" s="7"/>
      <c r="L228" s="7"/>
      <c r="M228" s="7"/>
      <c r="N228" s="7"/>
      <c r="O228" s="7"/>
      <c r="P228" s="7"/>
      <c r="Q228" s="7"/>
      <c r="R228" s="7"/>
      <c r="S228" s="7"/>
      <c r="T228" s="7"/>
      <c r="U228" s="7"/>
      <c r="V228" s="7"/>
      <c r="W228" s="7"/>
      <c r="X228" s="7"/>
      <c r="Y228" s="7"/>
    </row>
    <row r="229" spans="3:25" x14ac:dyDescent="0.2">
      <c r="C229" s="7"/>
      <c r="D229" s="7"/>
      <c r="E229" s="7"/>
      <c r="F229" s="55"/>
      <c r="G229" s="56"/>
      <c r="H229" s="7"/>
      <c r="I229" s="7"/>
      <c r="J229" s="7"/>
      <c r="K229" s="7"/>
      <c r="L229" s="7"/>
      <c r="M229" s="7"/>
      <c r="N229" s="7"/>
      <c r="O229" s="7"/>
      <c r="P229" s="7"/>
      <c r="Q229" s="7"/>
      <c r="R229" s="7"/>
      <c r="S229" s="7"/>
      <c r="T229" s="7"/>
      <c r="U229" s="7"/>
      <c r="V229" s="7"/>
      <c r="W229" s="7"/>
      <c r="X229" s="7"/>
      <c r="Y229" s="7"/>
    </row>
    <row r="230" spans="3:25" x14ac:dyDescent="0.2">
      <c r="C230" s="7"/>
      <c r="D230" s="7"/>
      <c r="E230" s="7"/>
      <c r="F230" s="55"/>
      <c r="G230" s="56"/>
      <c r="H230" s="7"/>
      <c r="I230" s="7"/>
      <c r="J230" s="7"/>
      <c r="K230" s="7"/>
      <c r="L230" s="7"/>
      <c r="M230" s="7"/>
      <c r="N230" s="7"/>
      <c r="O230" s="7"/>
      <c r="P230" s="7"/>
      <c r="Q230" s="7"/>
      <c r="R230" s="7"/>
      <c r="S230" s="7"/>
      <c r="T230" s="7"/>
      <c r="U230" s="7"/>
      <c r="V230" s="7"/>
      <c r="W230" s="7"/>
      <c r="X230" s="7"/>
      <c r="Y230" s="7"/>
    </row>
    <row r="231" spans="3:25" x14ac:dyDescent="0.2">
      <c r="C231" s="7"/>
      <c r="D231" s="7"/>
      <c r="E231" s="7"/>
      <c r="F231" s="55"/>
      <c r="G231" s="56"/>
      <c r="H231" s="7"/>
      <c r="I231" s="7"/>
      <c r="J231" s="7"/>
      <c r="K231" s="7"/>
      <c r="L231" s="7"/>
      <c r="M231" s="7"/>
      <c r="N231" s="7"/>
      <c r="O231" s="7"/>
      <c r="P231" s="7"/>
      <c r="Q231" s="7"/>
      <c r="R231" s="7"/>
      <c r="S231" s="7"/>
      <c r="T231" s="7"/>
      <c r="U231" s="7"/>
      <c r="V231" s="7"/>
      <c r="W231" s="7"/>
      <c r="X231" s="7"/>
      <c r="Y231" s="7"/>
    </row>
    <row r="232" spans="3:25" x14ac:dyDescent="0.2">
      <c r="C232" s="7"/>
      <c r="D232" s="7"/>
      <c r="E232" s="7"/>
      <c r="F232" s="55"/>
      <c r="G232" s="56"/>
      <c r="H232" s="7"/>
      <c r="I232" s="7"/>
      <c r="J232" s="7"/>
      <c r="K232" s="7"/>
      <c r="L232" s="7"/>
      <c r="M232" s="7"/>
      <c r="N232" s="7"/>
      <c r="O232" s="7"/>
      <c r="P232" s="7"/>
      <c r="Q232" s="7"/>
      <c r="R232" s="7"/>
      <c r="S232" s="7"/>
      <c r="T232" s="7"/>
      <c r="U232" s="7"/>
      <c r="V232" s="7"/>
      <c r="W232" s="7"/>
      <c r="X232" s="7"/>
      <c r="Y232" s="7"/>
    </row>
    <row r="233" spans="3:25" x14ac:dyDescent="0.2">
      <c r="C233" s="7"/>
      <c r="D233" s="7"/>
      <c r="E233" s="7"/>
      <c r="F233" s="55"/>
      <c r="G233" s="56"/>
      <c r="H233" s="7"/>
      <c r="I233" s="7"/>
      <c r="J233" s="7"/>
      <c r="K233" s="7"/>
      <c r="L233" s="7"/>
      <c r="M233" s="7"/>
      <c r="N233" s="7"/>
      <c r="O233" s="7"/>
      <c r="P233" s="7"/>
      <c r="Q233" s="7"/>
      <c r="R233" s="7"/>
      <c r="S233" s="7"/>
      <c r="T233" s="7"/>
      <c r="U233" s="7"/>
      <c r="V233" s="7"/>
      <c r="W233" s="7"/>
      <c r="X233" s="7"/>
      <c r="Y233" s="7"/>
    </row>
    <row r="234" spans="3:25" x14ac:dyDescent="0.2">
      <c r="C234" s="7"/>
      <c r="D234" s="7"/>
      <c r="E234" s="7"/>
      <c r="F234" s="55"/>
      <c r="G234" s="56"/>
      <c r="H234" s="7"/>
      <c r="I234" s="7"/>
      <c r="J234" s="7"/>
      <c r="K234" s="7"/>
      <c r="L234" s="7"/>
      <c r="M234" s="7"/>
      <c r="N234" s="7"/>
      <c r="O234" s="7"/>
      <c r="P234" s="7"/>
      <c r="Q234" s="7"/>
      <c r="R234" s="7"/>
      <c r="S234" s="7"/>
      <c r="T234" s="7"/>
      <c r="U234" s="7"/>
      <c r="V234" s="7"/>
      <c r="W234" s="7"/>
      <c r="X234" s="7"/>
      <c r="Y234" s="7"/>
    </row>
    <row r="235" spans="3:25" x14ac:dyDescent="0.2">
      <c r="C235" s="7"/>
      <c r="D235" s="7"/>
      <c r="E235" s="7"/>
      <c r="F235" s="55"/>
      <c r="G235" s="56"/>
      <c r="H235" s="7"/>
      <c r="I235" s="7"/>
      <c r="J235" s="7"/>
      <c r="K235" s="7"/>
      <c r="L235" s="7"/>
      <c r="M235" s="7"/>
      <c r="N235" s="7"/>
      <c r="O235" s="7"/>
      <c r="P235" s="7"/>
      <c r="Q235" s="7"/>
      <c r="R235" s="7"/>
      <c r="S235" s="7"/>
      <c r="T235" s="7"/>
      <c r="U235" s="7"/>
      <c r="V235" s="7"/>
      <c r="W235" s="7"/>
      <c r="X235" s="7"/>
      <c r="Y235" s="7"/>
    </row>
    <row r="236" spans="3:25" x14ac:dyDescent="0.2">
      <c r="C236" s="7"/>
      <c r="D236" s="7"/>
      <c r="E236" s="7"/>
      <c r="F236" s="55"/>
      <c r="G236" s="56"/>
      <c r="H236" s="7"/>
      <c r="I236" s="7"/>
      <c r="J236" s="7"/>
      <c r="K236" s="7"/>
      <c r="L236" s="7"/>
      <c r="M236" s="7"/>
      <c r="N236" s="7"/>
      <c r="O236" s="7"/>
      <c r="P236" s="7"/>
      <c r="Q236" s="7"/>
      <c r="R236" s="7"/>
      <c r="S236" s="7"/>
      <c r="T236" s="7"/>
      <c r="U236" s="7"/>
      <c r="V236" s="7"/>
      <c r="W236" s="7"/>
      <c r="X236" s="7"/>
      <c r="Y236" s="7"/>
    </row>
    <row r="237" spans="3:25" x14ac:dyDescent="0.2">
      <c r="C237" s="7"/>
      <c r="D237" s="7"/>
      <c r="E237" s="7"/>
      <c r="F237" s="55"/>
      <c r="G237" s="56"/>
      <c r="H237" s="7"/>
      <c r="I237" s="7"/>
      <c r="J237" s="7"/>
      <c r="K237" s="7"/>
      <c r="L237" s="7"/>
      <c r="M237" s="7"/>
      <c r="N237" s="7"/>
      <c r="O237" s="7"/>
      <c r="P237" s="7"/>
      <c r="Q237" s="7"/>
      <c r="R237" s="7"/>
      <c r="S237" s="7"/>
      <c r="T237" s="7"/>
      <c r="U237" s="7"/>
      <c r="V237" s="7"/>
      <c r="W237" s="7"/>
      <c r="X237" s="7"/>
      <c r="Y237" s="7"/>
    </row>
    <row r="238" spans="3:25" x14ac:dyDescent="0.2">
      <c r="C238" s="7"/>
      <c r="D238" s="7"/>
      <c r="E238" s="7"/>
      <c r="F238" s="55"/>
      <c r="G238" s="56"/>
      <c r="H238" s="7"/>
      <c r="I238" s="7"/>
      <c r="J238" s="7"/>
      <c r="K238" s="7"/>
      <c r="L238" s="7"/>
      <c r="M238" s="7"/>
      <c r="N238" s="7"/>
      <c r="O238" s="7"/>
      <c r="P238" s="7"/>
      <c r="Q238" s="7"/>
      <c r="R238" s="7"/>
      <c r="S238" s="7"/>
      <c r="T238" s="7"/>
      <c r="U238" s="7"/>
      <c r="V238" s="7"/>
      <c r="W238" s="7"/>
      <c r="X238" s="7"/>
      <c r="Y238" s="7"/>
    </row>
    <row r="239" spans="3:25" x14ac:dyDescent="0.2">
      <c r="C239" s="7"/>
      <c r="D239" s="7"/>
      <c r="E239" s="7"/>
      <c r="F239" s="55"/>
      <c r="G239" s="56"/>
      <c r="H239" s="7"/>
      <c r="I239" s="7"/>
      <c r="J239" s="7"/>
      <c r="K239" s="7"/>
      <c r="L239" s="7"/>
      <c r="M239" s="7"/>
      <c r="N239" s="7"/>
      <c r="O239" s="7"/>
      <c r="P239" s="7"/>
      <c r="Q239" s="7"/>
      <c r="R239" s="7"/>
      <c r="S239" s="7"/>
      <c r="T239" s="7"/>
      <c r="U239" s="7"/>
      <c r="V239" s="7"/>
      <c r="W239" s="7"/>
      <c r="X239" s="7"/>
      <c r="Y239" s="7"/>
    </row>
    <row r="240" spans="3:25" x14ac:dyDescent="0.2">
      <c r="C240" s="7"/>
      <c r="D240" s="7"/>
      <c r="E240" s="7"/>
      <c r="F240" s="55"/>
      <c r="G240" s="56"/>
      <c r="H240" s="7"/>
      <c r="I240" s="7"/>
      <c r="J240" s="7"/>
      <c r="K240" s="7"/>
      <c r="L240" s="7"/>
      <c r="M240" s="7"/>
      <c r="N240" s="7"/>
      <c r="O240" s="7"/>
      <c r="P240" s="7"/>
      <c r="Q240" s="7"/>
      <c r="R240" s="7"/>
      <c r="S240" s="7"/>
      <c r="T240" s="7"/>
      <c r="U240" s="7"/>
      <c r="V240" s="7"/>
      <c r="W240" s="7"/>
      <c r="X240" s="7"/>
      <c r="Y240" s="7"/>
    </row>
    <row r="241" spans="3:25" x14ac:dyDescent="0.2">
      <c r="C241" s="7"/>
      <c r="D241" s="7"/>
      <c r="E241" s="7"/>
      <c r="F241" s="55"/>
      <c r="G241" s="56"/>
      <c r="H241" s="7"/>
      <c r="I241" s="7"/>
      <c r="J241" s="7"/>
      <c r="K241" s="7"/>
      <c r="L241" s="7"/>
      <c r="M241" s="7"/>
      <c r="N241" s="7"/>
      <c r="O241" s="7"/>
      <c r="P241" s="7"/>
      <c r="Q241" s="7"/>
      <c r="R241" s="7"/>
      <c r="S241" s="7"/>
      <c r="T241" s="7"/>
      <c r="U241" s="7"/>
      <c r="V241" s="7"/>
      <c r="W241" s="7"/>
      <c r="X241" s="7"/>
      <c r="Y241" s="7"/>
    </row>
    <row r="242" spans="3:25" x14ac:dyDescent="0.2">
      <c r="C242" s="7"/>
      <c r="D242" s="7"/>
      <c r="E242" s="7"/>
      <c r="F242" s="55"/>
      <c r="G242" s="56"/>
      <c r="H242" s="7"/>
      <c r="I242" s="7"/>
      <c r="J242" s="7"/>
      <c r="K242" s="7"/>
      <c r="L242" s="7"/>
      <c r="M242" s="7"/>
      <c r="N242" s="7"/>
      <c r="O242" s="7"/>
      <c r="P242" s="7"/>
      <c r="Q242" s="7"/>
      <c r="R242" s="7"/>
      <c r="S242" s="7"/>
      <c r="T242" s="7"/>
      <c r="U242" s="7"/>
      <c r="V242" s="7"/>
      <c r="W242" s="7"/>
      <c r="X242" s="7"/>
      <c r="Y242" s="7"/>
    </row>
    <row r="243" spans="3:25" x14ac:dyDescent="0.2">
      <c r="C243" s="7"/>
      <c r="D243" s="7"/>
      <c r="E243" s="7"/>
      <c r="F243" s="55"/>
      <c r="G243" s="56"/>
      <c r="H243" s="7"/>
      <c r="I243" s="7"/>
      <c r="J243" s="7"/>
      <c r="K243" s="7"/>
      <c r="L243" s="7"/>
      <c r="M243" s="7"/>
      <c r="N243" s="7"/>
      <c r="O243" s="7"/>
      <c r="P243" s="7"/>
      <c r="Q243" s="7"/>
      <c r="R243" s="7"/>
      <c r="S243" s="7"/>
      <c r="T243" s="7"/>
      <c r="U243" s="7"/>
      <c r="V243" s="7"/>
      <c r="W243" s="7"/>
      <c r="X243" s="7"/>
      <c r="Y243" s="7"/>
    </row>
    <row r="244" spans="3:25" x14ac:dyDescent="0.2">
      <c r="C244" s="7"/>
      <c r="D244" s="7"/>
      <c r="E244" s="7"/>
      <c r="F244" s="55"/>
      <c r="G244" s="56"/>
      <c r="H244" s="7"/>
      <c r="I244" s="7"/>
      <c r="J244" s="7"/>
      <c r="K244" s="7"/>
      <c r="L244" s="7"/>
      <c r="M244" s="7"/>
      <c r="N244" s="7"/>
      <c r="O244" s="7"/>
      <c r="P244" s="7"/>
      <c r="Q244" s="7"/>
      <c r="R244" s="7"/>
      <c r="S244" s="7"/>
      <c r="T244" s="7"/>
      <c r="U244" s="7"/>
      <c r="V244" s="7"/>
      <c r="W244" s="7"/>
      <c r="X244" s="7"/>
      <c r="Y244" s="7"/>
    </row>
    <row r="245" spans="3:25" x14ac:dyDescent="0.2">
      <c r="C245" s="7"/>
      <c r="D245" s="7"/>
      <c r="E245" s="7"/>
      <c r="F245" s="55"/>
      <c r="G245" s="56"/>
      <c r="H245" s="7"/>
      <c r="I245" s="7"/>
      <c r="J245" s="7"/>
      <c r="K245" s="7"/>
      <c r="L245" s="7"/>
      <c r="M245" s="7"/>
      <c r="N245" s="7"/>
      <c r="O245" s="7"/>
      <c r="P245" s="7"/>
      <c r="Q245" s="7"/>
      <c r="R245" s="7"/>
      <c r="S245" s="7"/>
      <c r="T245" s="7"/>
      <c r="U245" s="7"/>
      <c r="V245" s="7"/>
      <c r="W245" s="7"/>
      <c r="X245" s="7"/>
      <c r="Y245" s="7"/>
    </row>
    <row r="246" spans="3:25" x14ac:dyDescent="0.2">
      <c r="C246" s="7"/>
      <c r="D246" s="7"/>
      <c r="E246" s="7"/>
      <c r="F246" s="55"/>
      <c r="G246" s="56"/>
      <c r="H246" s="7"/>
      <c r="I246" s="7"/>
      <c r="J246" s="7"/>
      <c r="K246" s="7"/>
      <c r="L246" s="7"/>
      <c r="M246" s="7"/>
      <c r="N246" s="7"/>
      <c r="O246" s="7"/>
      <c r="P246" s="7"/>
      <c r="Q246" s="7"/>
      <c r="R246" s="7"/>
      <c r="S246" s="7"/>
      <c r="T246" s="7"/>
      <c r="U246" s="7"/>
      <c r="V246" s="7"/>
      <c r="W246" s="7"/>
      <c r="X246" s="7"/>
      <c r="Y246" s="7"/>
    </row>
    <row r="247" spans="3:25" x14ac:dyDescent="0.2">
      <c r="C247" s="7"/>
      <c r="D247" s="7"/>
      <c r="E247" s="7"/>
      <c r="F247" s="55"/>
      <c r="G247" s="56"/>
      <c r="H247" s="7"/>
      <c r="I247" s="7"/>
      <c r="J247" s="7"/>
      <c r="K247" s="7"/>
      <c r="L247" s="7"/>
      <c r="M247" s="7"/>
      <c r="N247" s="7"/>
      <c r="O247" s="7"/>
      <c r="P247" s="7"/>
      <c r="Q247" s="7"/>
      <c r="R247" s="7"/>
      <c r="S247" s="7"/>
      <c r="T247" s="7"/>
      <c r="U247" s="7"/>
      <c r="V247" s="7"/>
      <c r="W247" s="7"/>
      <c r="X247" s="7"/>
      <c r="Y247" s="7"/>
    </row>
    <row r="248" spans="3:25" x14ac:dyDescent="0.2">
      <c r="C248" s="7"/>
      <c r="D248" s="7"/>
      <c r="E248" s="7"/>
      <c r="F248" s="55"/>
      <c r="G248" s="56"/>
      <c r="H248" s="7"/>
      <c r="I248" s="7"/>
      <c r="J248" s="7"/>
      <c r="K248" s="7"/>
      <c r="L248" s="7"/>
      <c r="M248" s="7"/>
      <c r="N248" s="7"/>
      <c r="O248" s="7"/>
      <c r="P248" s="7"/>
      <c r="Q248" s="7"/>
      <c r="R248" s="7"/>
      <c r="S248" s="7"/>
      <c r="T248" s="7"/>
      <c r="U248" s="7"/>
      <c r="V248" s="7"/>
      <c r="W248" s="7"/>
      <c r="X248" s="7"/>
      <c r="Y248" s="7"/>
    </row>
    <row r="249" spans="3:25" x14ac:dyDescent="0.2">
      <c r="C249" s="7"/>
      <c r="D249" s="7"/>
      <c r="E249" s="7"/>
      <c r="F249" s="55"/>
      <c r="G249" s="56"/>
      <c r="H249" s="7"/>
      <c r="I249" s="7"/>
      <c r="J249" s="7"/>
      <c r="K249" s="7"/>
      <c r="L249" s="7"/>
      <c r="M249" s="7"/>
      <c r="N249" s="7"/>
      <c r="O249" s="7"/>
      <c r="P249" s="7"/>
      <c r="Q249" s="7"/>
      <c r="R249" s="7"/>
      <c r="S249" s="7"/>
      <c r="T249" s="7"/>
      <c r="U249" s="7"/>
      <c r="V249" s="7"/>
      <c r="W249" s="7"/>
      <c r="X249" s="7"/>
      <c r="Y249" s="7"/>
    </row>
    <row r="250" spans="3:25" x14ac:dyDescent="0.2">
      <c r="C250" s="7"/>
      <c r="D250" s="7"/>
      <c r="E250" s="7"/>
      <c r="F250" s="55"/>
      <c r="G250" s="56"/>
      <c r="H250" s="7"/>
      <c r="I250" s="7"/>
      <c r="J250" s="7"/>
      <c r="K250" s="7"/>
      <c r="L250" s="7"/>
      <c r="M250" s="7"/>
      <c r="N250" s="7"/>
      <c r="O250" s="7"/>
      <c r="P250" s="7"/>
      <c r="Q250" s="7"/>
      <c r="R250" s="7"/>
      <c r="S250" s="7"/>
      <c r="T250" s="7"/>
      <c r="U250" s="7"/>
      <c r="V250" s="7"/>
      <c r="W250" s="7"/>
      <c r="X250" s="7"/>
      <c r="Y250" s="7"/>
    </row>
    <row r="251" spans="3:25" x14ac:dyDescent="0.2">
      <c r="C251" s="7"/>
      <c r="D251" s="7"/>
      <c r="E251" s="7"/>
      <c r="F251" s="55"/>
      <c r="G251" s="56"/>
      <c r="H251" s="7"/>
      <c r="I251" s="7"/>
      <c r="J251" s="7"/>
      <c r="K251" s="7"/>
      <c r="L251" s="7"/>
      <c r="M251" s="7"/>
      <c r="N251" s="7"/>
      <c r="O251" s="7"/>
      <c r="P251" s="7"/>
      <c r="Q251" s="7"/>
      <c r="R251" s="7"/>
      <c r="S251" s="7"/>
      <c r="T251" s="7"/>
      <c r="U251" s="7"/>
      <c r="V251" s="7"/>
      <c r="W251" s="7"/>
      <c r="X251" s="7"/>
      <c r="Y251" s="7"/>
    </row>
    <row r="252" spans="3:25" x14ac:dyDescent="0.2">
      <c r="C252" s="7"/>
      <c r="D252" s="7"/>
      <c r="E252" s="7"/>
      <c r="F252" s="55"/>
      <c r="G252" s="56"/>
      <c r="H252" s="7"/>
      <c r="I252" s="7"/>
      <c r="J252" s="7"/>
      <c r="K252" s="7"/>
      <c r="L252" s="7"/>
      <c r="M252" s="7"/>
      <c r="N252" s="7"/>
      <c r="O252" s="7"/>
      <c r="P252" s="7"/>
      <c r="Q252" s="7"/>
      <c r="R252" s="7"/>
      <c r="S252" s="7"/>
      <c r="T252" s="7"/>
      <c r="U252" s="7"/>
      <c r="V252" s="7"/>
      <c r="W252" s="7"/>
      <c r="X252" s="7"/>
      <c r="Y252" s="7"/>
    </row>
    <row r="253" spans="3:25" x14ac:dyDescent="0.2">
      <c r="C253" s="7"/>
      <c r="D253" s="7"/>
      <c r="E253" s="7"/>
      <c r="F253" s="55"/>
      <c r="G253" s="56"/>
      <c r="H253" s="7"/>
      <c r="I253" s="7"/>
      <c r="J253" s="7"/>
      <c r="K253" s="7"/>
      <c r="L253" s="7"/>
      <c r="M253" s="7"/>
      <c r="N253" s="7"/>
      <c r="O253" s="7"/>
      <c r="P253" s="7"/>
      <c r="Q253" s="7"/>
      <c r="R253" s="7"/>
      <c r="S253" s="7"/>
      <c r="T253" s="7"/>
      <c r="U253" s="7"/>
      <c r="V253" s="7"/>
      <c r="W253" s="7"/>
      <c r="X253" s="7"/>
      <c r="Y253" s="7"/>
    </row>
    <row r="254" spans="3:25" x14ac:dyDescent="0.2">
      <c r="C254" s="7"/>
      <c r="D254" s="7"/>
      <c r="E254" s="7"/>
      <c r="F254" s="55"/>
      <c r="G254" s="56"/>
      <c r="H254" s="7"/>
      <c r="I254" s="7"/>
      <c r="J254" s="7"/>
      <c r="K254" s="7"/>
      <c r="L254" s="7"/>
      <c r="M254" s="7"/>
      <c r="N254" s="7"/>
      <c r="O254" s="7"/>
      <c r="P254" s="7"/>
      <c r="Q254" s="7"/>
      <c r="R254" s="7"/>
      <c r="S254" s="7"/>
      <c r="T254" s="7"/>
      <c r="U254" s="7"/>
      <c r="V254" s="7"/>
      <c r="W254" s="7"/>
      <c r="X254" s="7"/>
      <c r="Y254" s="7"/>
    </row>
    <row r="255" spans="3:25" x14ac:dyDescent="0.2">
      <c r="C255" s="7"/>
      <c r="D255" s="7"/>
      <c r="E255" s="7"/>
      <c r="F255" s="55"/>
      <c r="G255" s="56"/>
      <c r="H255" s="7"/>
      <c r="I255" s="7"/>
      <c r="J255" s="7"/>
      <c r="K255" s="7"/>
      <c r="L255" s="7"/>
      <c r="M255" s="7"/>
      <c r="N255" s="7"/>
      <c r="O255" s="7"/>
      <c r="P255" s="7"/>
      <c r="Q255" s="7"/>
      <c r="R255" s="7"/>
      <c r="S255" s="7"/>
      <c r="T255" s="7"/>
      <c r="U255" s="7"/>
      <c r="V255" s="7"/>
      <c r="W255" s="7"/>
      <c r="X255" s="7"/>
      <c r="Y255" s="7"/>
    </row>
    <row r="256" spans="3:25" x14ac:dyDescent="0.2">
      <c r="C256" s="7"/>
      <c r="D256" s="7"/>
      <c r="E256" s="7"/>
      <c r="F256" s="55"/>
      <c r="G256" s="56"/>
      <c r="H256" s="7"/>
      <c r="I256" s="7"/>
      <c r="J256" s="7"/>
      <c r="K256" s="7"/>
      <c r="L256" s="7"/>
      <c r="M256" s="7"/>
      <c r="N256" s="7"/>
      <c r="O256" s="7"/>
      <c r="P256" s="7"/>
      <c r="Q256" s="7"/>
      <c r="R256" s="7"/>
      <c r="S256" s="7"/>
      <c r="T256" s="7"/>
      <c r="U256" s="7"/>
      <c r="V256" s="7"/>
      <c r="W256" s="7"/>
      <c r="X256" s="7"/>
      <c r="Y256" s="7"/>
    </row>
    <row r="257" spans="3:25" x14ac:dyDescent="0.2">
      <c r="C257" s="7"/>
      <c r="D257" s="7"/>
      <c r="E257" s="7"/>
      <c r="F257" s="55"/>
      <c r="G257" s="56"/>
      <c r="H257" s="7"/>
      <c r="I257" s="7"/>
      <c r="J257" s="7"/>
      <c r="K257" s="7"/>
      <c r="L257" s="7"/>
      <c r="M257" s="7"/>
      <c r="N257" s="7"/>
      <c r="O257" s="7"/>
      <c r="P257" s="7"/>
      <c r="Q257" s="7"/>
      <c r="R257" s="7"/>
      <c r="S257" s="7"/>
      <c r="T257" s="7"/>
      <c r="U257" s="7"/>
      <c r="V257" s="7"/>
      <c r="W257" s="7"/>
      <c r="X257" s="7"/>
      <c r="Y257" s="7"/>
    </row>
    <row r="258" spans="3:25" x14ac:dyDescent="0.2">
      <c r="C258" s="7"/>
      <c r="D258" s="7"/>
      <c r="E258" s="7"/>
      <c r="F258" s="55"/>
      <c r="G258" s="56"/>
      <c r="H258" s="7"/>
      <c r="I258" s="7"/>
      <c r="J258" s="7"/>
      <c r="K258" s="7"/>
      <c r="L258" s="7"/>
      <c r="M258" s="7"/>
      <c r="N258" s="7"/>
      <c r="O258" s="7"/>
      <c r="P258" s="7"/>
      <c r="Q258" s="7"/>
      <c r="R258" s="7"/>
      <c r="S258" s="7"/>
      <c r="T258" s="7"/>
      <c r="U258" s="7"/>
      <c r="V258" s="7"/>
      <c r="W258" s="7"/>
      <c r="X258" s="7"/>
      <c r="Y258" s="7"/>
    </row>
    <row r="259" spans="3:25" x14ac:dyDescent="0.2">
      <c r="C259" s="7"/>
      <c r="D259" s="7"/>
      <c r="E259" s="7"/>
      <c r="F259" s="55"/>
      <c r="G259" s="56"/>
      <c r="H259" s="7"/>
      <c r="I259" s="7"/>
      <c r="J259" s="7"/>
      <c r="K259" s="7"/>
      <c r="L259" s="7"/>
      <c r="M259" s="7"/>
      <c r="N259" s="7"/>
      <c r="O259" s="7"/>
      <c r="P259" s="7"/>
      <c r="Q259" s="7"/>
      <c r="R259" s="7"/>
      <c r="S259" s="7"/>
      <c r="T259" s="7"/>
      <c r="U259" s="7"/>
      <c r="V259" s="7"/>
      <c r="W259" s="7"/>
      <c r="X259" s="7"/>
      <c r="Y259" s="7"/>
    </row>
    <row r="260" spans="3:25" x14ac:dyDescent="0.2">
      <c r="C260" s="7"/>
      <c r="D260" s="7"/>
      <c r="E260" s="7"/>
      <c r="F260" s="55"/>
      <c r="G260" s="56"/>
      <c r="H260" s="7"/>
      <c r="I260" s="7"/>
      <c r="J260" s="7"/>
      <c r="K260" s="7"/>
      <c r="L260" s="7"/>
      <c r="M260" s="7"/>
      <c r="N260" s="7"/>
      <c r="O260" s="7"/>
      <c r="P260" s="7"/>
      <c r="Q260" s="7"/>
      <c r="R260" s="7"/>
      <c r="S260" s="7"/>
      <c r="T260" s="7"/>
      <c r="U260" s="7"/>
      <c r="V260" s="7"/>
      <c r="W260" s="7"/>
      <c r="X260" s="7"/>
      <c r="Y260" s="7"/>
    </row>
    <row r="261" spans="3:25" x14ac:dyDescent="0.2">
      <c r="C261" s="7"/>
      <c r="D261" s="7"/>
      <c r="E261" s="7"/>
      <c r="F261" s="55"/>
      <c r="G261" s="56"/>
      <c r="H261" s="7"/>
      <c r="I261" s="7"/>
      <c r="J261" s="7"/>
      <c r="K261" s="7"/>
      <c r="L261" s="7"/>
      <c r="M261" s="7"/>
      <c r="N261" s="7"/>
      <c r="O261" s="7"/>
      <c r="P261" s="7"/>
      <c r="Q261" s="7"/>
      <c r="R261" s="7"/>
      <c r="S261" s="7"/>
      <c r="T261" s="7"/>
      <c r="U261" s="7"/>
      <c r="V261" s="7"/>
      <c r="W261" s="7"/>
      <c r="X261" s="7"/>
      <c r="Y261" s="7"/>
    </row>
    <row r="262" spans="3:25" x14ac:dyDescent="0.2">
      <c r="C262" s="7"/>
      <c r="D262" s="7"/>
      <c r="E262" s="7"/>
      <c r="F262" s="55"/>
      <c r="G262" s="56"/>
      <c r="H262" s="7"/>
      <c r="I262" s="7"/>
      <c r="J262" s="7"/>
      <c r="K262" s="7"/>
      <c r="L262" s="7"/>
      <c r="M262" s="7"/>
      <c r="N262" s="7"/>
      <c r="O262" s="7"/>
      <c r="P262" s="7"/>
      <c r="Q262" s="7"/>
      <c r="R262" s="7"/>
      <c r="S262" s="7"/>
      <c r="T262" s="7"/>
      <c r="U262" s="7"/>
      <c r="V262" s="7"/>
      <c r="W262" s="7"/>
      <c r="X262" s="7"/>
      <c r="Y262" s="7"/>
    </row>
    <row r="263" spans="3:25" x14ac:dyDescent="0.2">
      <c r="C263" s="7"/>
      <c r="D263" s="7"/>
      <c r="E263" s="7"/>
      <c r="F263" s="55"/>
      <c r="G263" s="56"/>
      <c r="H263" s="7"/>
      <c r="I263" s="7"/>
      <c r="J263" s="7"/>
      <c r="K263" s="7"/>
      <c r="L263" s="7"/>
      <c r="M263" s="7"/>
      <c r="N263" s="7"/>
      <c r="O263" s="7"/>
      <c r="P263" s="7"/>
      <c r="Q263" s="7"/>
      <c r="R263" s="7"/>
      <c r="S263" s="7"/>
      <c r="T263" s="7"/>
      <c r="U263" s="7"/>
      <c r="V263" s="7"/>
      <c r="W263" s="7"/>
      <c r="X263" s="7"/>
      <c r="Y263" s="7"/>
    </row>
    <row r="264" spans="3:25" x14ac:dyDescent="0.2">
      <c r="C264" s="7"/>
      <c r="D264" s="7"/>
      <c r="E264" s="7"/>
      <c r="F264" s="55"/>
      <c r="G264" s="56"/>
      <c r="H264" s="7"/>
      <c r="I264" s="7"/>
      <c r="J264" s="7"/>
      <c r="K264" s="7"/>
      <c r="L264" s="7"/>
      <c r="M264" s="7"/>
      <c r="N264" s="7"/>
      <c r="O264" s="7"/>
      <c r="P264" s="7"/>
      <c r="Q264" s="7"/>
      <c r="R264" s="7"/>
      <c r="S264" s="7"/>
      <c r="T264" s="7"/>
      <c r="U264" s="7"/>
      <c r="V264" s="7"/>
      <c r="W264" s="7"/>
      <c r="X264" s="7"/>
      <c r="Y264" s="7"/>
    </row>
    <row r="265" spans="3:25" x14ac:dyDescent="0.2">
      <c r="C265" s="7"/>
      <c r="D265" s="7"/>
      <c r="E265" s="7"/>
      <c r="F265" s="55"/>
      <c r="G265" s="56"/>
      <c r="H265" s="7"/>
      <c r="I265" s="7"/>
      <c r="J265" s="7"/>
      <c r="K265" s="7"/>
      <c r="L265" s="7"/>
      <c r="M265" s="7"/>
      <c r="N265" s="7"/>
      <c r="O265" s="7"/>
      <c r="P265" s="7"/>
      <c r="Q265" s="7"/>
      <c r="R265" s="7"/>
      <c r="S265" s="7"/>
      <c r="T265" s="7"/>
      <c r="U265" s="7"/>
      <c r="V265" s="7"/>
      <c r="W265" s="7"/>
      <c r="X265" s="7"/>
      <c r="Y265" s="7"/>
    </row>
    <row r="266" spans="3:25" x14ac:dyDescent="0.2">
      <c r="C266" s="7"/>
      <c r="D266" s="7"/>
      <c r="E266" s="7"/>
      <c r="F266" s="55"/>
      <c r="G266" s="56"/>
      <c r="H266" s="7"/>
      <c r="I266" s="7"/>
      <c r="J266" s="7"/>
      <c r="K266" s="7"/>
      <c r="L266" s="7"/>
      <c r="M266" s="7"/>
      <c r="N266" s="7"/>
      <c r="O266" s="7"/>
      <c r="P266" s="7"/>
      <c r="Q266" s="7"/>
      <c r="R266" s="7"/>
      <c r="S266" s="7"/>
      <c r="T266" s="7"/>
      <c r="U266" s="7"/>
      <c r="V266" s="7"/>
      <c r="W266" s="7"/>
      <c r="X266" s="7"/>
      <c r="Y266" s="7"/>
    </row>
    <row r="267" spans="3:25" x14ac:dyDescent="0.2">
      <c r="C267" s="7"/>
      <c r="D267" s="7"/>
      <c r="E267" s="7"/>
      <c r="F267" s="55"/>
      <c r="G267" s="56"/>
      <c r="H267" s="7"/>
      <c r="I267" s="7"/>
      <c r="J267" s="7"/>
      <c r="K267" s="7"/>
      <c r="L267" s="7"/>
      <c r="M267" s="7"/>
      <c r="N267" s="7"/>
      <c r="O267" s="7"/>
      <c r="P267" s="7"/>
      <c r="Q267" s="7"/>
      <c r="R267" s="7"/>
      <c r="S267" s="7"/>
      <c r="T267" s="7"/>
      <c r="U267" s="7"/>
      <c r="V267" s="7"/>
      <c r="W267" s="7"/>
      <c r="X267" s="7"/>
      <c r="Y267" s="7"/>
    </row>
    <row r="268" spans="3:25" x14ac:dyDescent="0.2">
      <c r="C268" s="7"/>
      <c r="D268" s="7"/>
      <c r="E268" s="7"/>
      <c r="F268" s="55"/>
      <c r="G268" s="56"/>
      <c r="H268" s="7"/>
      <c r="I268" s="7"/>
      <c r="J268" s="7"/>
      <c r="K268" s="7"/>
      <c r="L268" s="7"/>
      <c r="M268" s="7"/>
      <c r="N268" s="7"/>
      <c r="O268" s="7"/>
      <c r="P268" s="7"/>
      <c r="Q268" s="7"/>
      <c r="R268" s="7"/>
      <c r="S268" s="7"/>
      <c r="T268" s="7"/>
      <c r="U268" s="7"/>
      <c r="V268" s="7"/>
      <c r="W268" s="7"/>
      <c r="X268" s="7"/>
      <c r="Y268" s="7"/>
    </row>
    <row r="269" spans="3:25" x14ac:dyDescent="0.2">
      <c r="C269" s="7"/>
      <c r="D269" s="7"/>
      <c r="E269" s="7"/>
      <c r="F269" s="55"/>
      <c r="G269" s="56"/>
      <c r="H269" s="7"/>
      <c r="I269" s="7"/>
      <c r="J269" s="7"/>
      <c r="K269" s="7"/>
      <c r="L269" s="7"/>
      <c r="M269" s="7"/>
      <c r="N269" s="7"/>
      <c r="O269" s="7"/>
      <c r="P269" s="7"/>
      <c r="Q269" s="7"/>
      <c r="R269" s="7"/>
      <c r="S269" s="7"/>
      <c r="T269" s="7"/>
      <c r="U269" s="7"/>
      <c r="V269" s="7"/>
      <c r="W269" s="7"/>
      <c r="X269" s="7"/>
      <c r="Y269" s="7"/>
    </row>
    <row r="270" spans="3:25" x14ac:dyDescent="0.2">
      <c r="C270" s="7"/>
      <c r="D270" s="7"/>
      <c r="E270" s="7"/>
      <c r="F270" s="55"/>
      <c r="G270" s="56"/>
      <c r="H270" s="7"/>
      <c r="I270" s="7"/>
      <c r="J270" s="7"/>
      <c r="K270" s="7"/>
      <c r="L270" s="7"/>
      <c r="M270" s="7"/>
      <c r="N270" s="7"/>
      <c r="O270" s="7"/>
      <c r="P270" s="7"/>
      <c r="Q270" s="7"/>
      <c r="R270" s="7"/>
      <c r="S270" s="7"/>
      <c r="T270" s="7"/>
      <c r="U270" s="7"/>
      <c r="V270" s="7"/>
      <c r="W270" s="7"/>
      <c r="X270" s="7"/>
      <c r="Y270" s="7"/>
    </row>
    <row r="271" spans="3:25" x14ac:dyDescent="0.2">
      <c r="C271" s="7"/>
      <c r="D271" s="7"/>
      <c r="E271" s="7"/>
      <c r="F271" s="55"/>
      <c r="G271" s="56"/>
      <c r="H271" s="7"/>
      <c r="I271" s="7"/>
      <c r="J271" s="7"/>
      <c r="K271" s="7"/>
      <c r="L271" s="7"/>
      <c r="M271" s="7"/>
      <c r="N271" s="7"/>
      <c r="O271" s="7"/>
      <c r="P271" s="7"/>
      <c r="Q271" s="7"/>
      <c r="R271" s="7"/>
      <c r="S271" s="7"/>
      <c r="T271" s="7"/>
      <c r="U271" s="7"/>
      <c r="V271" s="7"/>
      <c r="W271" s="7"/>
      <c r="X271" s="7"/>
      <c r="Y271" s="7"/>
    </row>
    <row r="272" spans="3:25" x14ac:dyDescent="0.2">
      <c r="C272" s="7"/>
      <c r="D272" s="7"/>
      <c r="E272" s="7"/>
      <c r="F272" s="55"/>
      <c r="G272" s="56"/>
      <c r="H272" s="7"/>
      <c r="I272" s="7"/>
      <c r="J272" s="7"/>
      <c r="K272" s="7"/>
      <c r="L272" s="7"/>
      <c r="M272" s="7"/>
      <c r="N272" s="7"/>
      <c r="O272" s="7"/>
      <c r="P272" s="7"/>
      <c r="Q272" s="7"/>
      <c r="R272" s="7"/>
      <c r="S272" s="7"/>
      <c r="T272" s="7"/>
      <c r="U272" s="7"/>
      <c r="V272" s="7"/>
      <c r="W272" s="7"/>
      <c r="X272" s="7"/>
      <c r="Y272" s="7"/>
    </row>
    <row r="273" spans="3:25" x14ac:dyDescent="0.2">
      <c r="C273" s="7"/>
      <c r="D273" s="7"/>
      <c r="E273" s="7"/>
      <c r="F273" s="55"/>
      <c r="G273" s="56"/>
      <c r="H273" s="7"/>
      <c r="I273" s="7"/>
      <c r="J273" s="7"/>
      <c r="K273" s="7"/>
      <c r="L273" s="7"/>
      <c r="M273" s="7"/>
      <c r="N273" s="7"/>
      <c r="O273" s="7"/>
      <c r="P273" s="7"/>
      <c r="Q273" s="7"/>
      <c r="R273" s="7"/>
      <c r="S273" s="7"/>
      <c r="T273" s="7"/>
      <c r="U273" s="7"/>
      <c r="V273" s="7"/>
      <c r="W273" s="7"/>
      <c r="X273" s="7"/>
      <c r="Y273" s="7"/>
    </row>
    <row r="274" spans="3:25" x14ac:dyDescent="0.2">
      <c r="C274" s="7"/>
      <c r="D274" s="7"/>
      <c r="E274" s="7"/>
      <c r="F274" s="55"/>
      <c r="G274" s="56"/>
      <c r="H274" s="7"/>
      <c r="I274" s="7"/>
      <c r="J274" s="7"/>
      <c r="K274" s="7"/>
      <c r="L274" s="7"/>
      <c r="M274" s="7"/>
      <c r="N274" s="7"/>
      <c r="O274" s="7"/>
      <c r="P274" s="7"/>
      <c r="Q274" s="7"/>
      <c r="R274" s="7"/>
      <c r="S274" s="7"/>
      <c r="T274" s="7"/>
      <c r="U274" s="7"/>
      <c r="V274" s="7"/>
      <c r="W274" s="7"/>
      <c r="X274" s="7"/>
      <c r="Y274" s="7"/>
    </row>
    <row r="275" spans="3:25" x14ac:dyDescent="0.2">
      <c r="C275" s="7"/>
      <c r="D275" s="7"/>
      <c r="E275" s="7"/>
      <c r="F275" s="55"/>
      <c r="G275" s="56"/>
      <c r="H275" s="7"/>
      <c r="I275" s="7"/>
      <c r="J275" s="7"/>
      <c r="K275" s="7"/>
      <c r="L275" s="7"/>
      <c r="M275" s="7"/>
      <c r="N275" s="7"/>
      <c r="O275" s="7"/>
      <c r="P275" s="7"/>
      <c r="Q275" s="7"/>
      <c r="R275" s="7"/>
      <c r="S275" s="7"/>
      <c r="T275" s="7"/>
      <c r="U275" s="7"/>
      <c r="V275" s="7"/>
      <c r="W275" s="7"/>
      <c r="X275" s="7"/>
      <c r="Y275" s="7"/>
    </row>
    <row r="276" spans="3:25" x14ac:dyDescent="0.2">
      <c r="C276" s="7"/>
      <c r="D276" s="7"/>
      <c r="E276" s="7"/>
      <c r="F276" s="55"/>
      <c r="G276" s="56"/>
      <c r="H276" s="7"/>
      <c r="I276" s="7"/>
      <c r="J276" s="7"/>
      <c r="K276" s="7"/>
      <c r="L276" s="7"/>
      <c r="M276" s="7"/>
      <c r="N276" s="7"/>
      <c r="O276" s="7"/>
      <c r="P276" s="7"/>
      <c r="Q276" s="7"/>
      <c r="R276" s="7"/>
      <c r="S276" s="7"/>
      <c r="T276" s="7"/>
      <c r="U276" s="7"/>
      <c r="V276" s="7"/>
      <c r="W276" s="7"/>
      <c r="X276" s="7"/>
      <c r="Y276" s="7"/>
    </row>
    <row r="277" spans="3:25" x14ac:dyDescent="0.2">
      <c r="C277" s="7"/>
      <c r="D277" s="7"/>
      <c r="E277" s="7"/>
      <c r="F277" s="55"/>
      <c r="G277" s="56"/>
      <c r="H277" s="7"/>
      <c r="I277" s="7"/>
      <c r="J277" s="7"/>
      <c r="K277" s="7"/>
      <c r="L277" s="7"/>
      <c r="M277" s="7"/>
      <c r="N277" s="7"/>
      <c r="O277" s="7"/>
      <c r="P277" s="7"/>
      <c r="Q277" s="7"/>
      <c r="R277" s="7"/>
      <c r="S277" s="7"/>
      <c r="T277" s="7"/>
      <c r="U277" s="7"/>
      <c r="V277" s="7"/>
      <c r="W277" s="7"/>
      <c r="X277" s="7"/>
      <c r="Y277" s="7"/>
    </row>
    <row r="278" spans="3:25" x14ac:dyDescent="0.2">
      <c r="C278" s="7"/>
      <c r="D278" s="7"/>
      <c r="E278" s="7"/>
      <c r="F278" s="55"/>
      <c r="G278" s="56"/>
      <c r="H278" s="7"/>
      <c r="I278" s="7"/>
      <c r="J278" s="7"/>
      <c r="K278" s="7"/>
      <c r="L278" s="7"/>
      <c r="M278" s="7"/>
      <c r="N278" s="7"/>
      <c r="O278" s="7"/>
      <c r="P278" s="7"/>
      <c r="Q278" s="7"/>
      <c r="R278" s="7"/>
      <c r="S278" s="7"/>
      <c r="T278" s="7"/>
      <c r="U278" s="7"/>
      <c r="V278" s="7"/>
      <c r="W278" s="7"/>
      <c r="X278" s="7"/>
      <c r="Y278" s="7"/>
    </row>
    <row r="279" spans="3:25" x14ac:dyDescent="0.2">
      <c r="C279" s="7"/>
      <c r="D279" s="7"/>
      <c r="E279" s="7"/>
      <c r="F279" s="55"/>
      <c r="G279" s="56"/>
      <c r="H279" s="7"/>
      <c r="I279" s="7"/>
      <c r="J279" s="7"/>
      <c r="K279" s="7"/>
      <c r="L279" s="7"/>
      <c r="M279" s="7"/>
      <c r="N279" s="7"/>
      <c r="O279" s="7"/>
      <c r="P279" s="7"/>
      <c r="Q279" s="7"/>
      <c r="R279" s="7"/>
      <c r="S279" s="7"/>
      <c r="T279" s="7"/>
      <c r="U279" s="7"/>
      <c r="V279" s="7"/>
      <c r="W279" s="7"/>
      <c r="X279" s="7"/>
      <c r="Y279" s="7"/>
    </row>
    <row r="280" spans="3:25" x14ac:dyDescent="0.2">
      <c r="C280" s="7"/>
      <c r="D280" s="7"/>
      <c r="E280" s="7"/>
      <c r="F280" s="55"/>
      <c r="G280" s="56"/>
      <c r="H280" s="7"/>
      <c r="I280" s="7"/>
      <c r="J280" s="7"/>
      <c r="K280" s="7"/>
      <c r="L280" s="7"/>
      <c r="M280" s="7"/>
      <c r="N280" s="7"/>
      <c r="O280" s="7"/>
      <c r="P280" s="7"/>
      <c r="Q280" s="7"/>
      <c r="R280" s="7"/>
      <c r="S280" s="7"/>
      <c r="T280" s="7"/>
      <c r="U280" s="7"/>
      <c r="V280" s="7"/>
      <c r="W280" s="7"/>
      <c r="X280" s="7"/>
      <c r="Y280" s="7"/>
    </row>
    <row r="281" spans="3:25" x14ac:dyDescent="0.2">
      <c r="C281" s="7"/>
      <c r="D281" s="7"/>
      <c r="E281" s="7"/>
      <c r="F281" s="55"/>
      <c r="G281" s="56"/>
      <c r="H281" s="7"/>
      <c r="I281" s="7"/>
      <c r="J281" s="7"/>
      <c r="K281" s="7"/>
      <c r="L281" s="7"/>
      <c r="M281" s="7"/>
      <c r="N281" s="7"/>
      <c r="O281" s="7"/>
      <c r="P281" s="7"/>
      <c r="Q281" s="7"/>
      <c r="R281" s="7"/>
      <c r="S281" s="7"/>
      <c r="T281" s="7"/>
      <c r="U281" s="7"/>
      <c r="V281" s="7"/>
      <c r="W281" s="7"/>
      <c r="X281" s="7"/>
      <c r="Y281" s="7"/>
    </row>
    <row r="282" spans="3:25" x14ac:dyDescent="0.2">
      <c r="C282" s="7"/>
      <c r="D282" s="7"/>
      <c r="E282" s="7"/>
      <c r="F282" s="55"/>
      <c r="G282" s="56"/>
      <c r="H282" s="7"/>
      <c r="I282" s="7"/>
      <c r="J282" s="7"/>
      <c r="K282" s="7"/>
      <c r="L282" s="7"/>
      <c r="M282" s="7"/>
      <c r="N282" s="7"/>
      <c r="O282" s="7"/>
      <c r="P282" s="7"/>
      <c r="Q282" s="7"/>
      <c r="R282" s="7"/>
      <c r="S282" s="7"/>
      <c r="T282" s="7"/>
      <c r="U282" s="7"/>
      <c r="V282" s="7"/>
      <c r="W282" s="7"/>
      <c r="X282" s="7"/>
      <c r="Y282" s="7"/>
    </row>
    <row r="283" spans="3:25" x14ac:dyDescent="0.2">
      <c r="C283" s="7"/>
      <c r="D283" s="7"/>
      <c r="E283" s="7"/>
      <c r="F283" s="55"/>
      <c r="G283" s="56"/>
      <c r="H283" s="7"/>
      <c r="I283" s="7"/>
      <c r="J283" s="7"/>
      <c r="K283" s="7"/>
      <c r="L283" s="7"/>
      <c r="M283" s="7"/>
      <c r="N283" s="7"/>
      <c r="O283" s="7"/>
      <c r="P283" s="7"/>
      <c r="Q283" s="7"/>
      <c r="R283" s="7"/>
      <c r="S283" s="7"/>
      <c r="T283" s="7"/>
      <c r="U283" s="7"/>
      <c r="V283" s="7"/>
      <c r="W283" s="7"/>
      <c r="X283" s="7"/>
      <c r="Y283" s="7"/>
    </row>
    <row r="284" spans="3:25" x14ac:dyDescent="0.2">
      <c r="C284" s="7"/>
      <c r="D284" s="7"/>
      <c r="E284" s="7"/>
      <c r="F284" s="55"/>
      <c r="G284" s="56"/>
      <c r="H284" s="7"/>
      <c r="I284" s="7"/>
      <c r="J284" s="7"/>
      <c r="K284" s="7"/>
      <c r="L284" s="7"/>
      <c r="M284" s="7"/>
      <c r="N284" s="7"/>
      <c r="O284" s="7"/>
      <c r="P284" s="7"/>
      <c r="Q284" s="7"/>
      <c r="R284" s="7"/>
      <c r="S284" s="7"/>
      <c r="T284" s="7"/>
      <c r="U284" s="7"/>
      <c r="V284" s="7"/>
      <c r="W284" s="7"/>
      <c r="X284" s="7"/>
      <c r="Y284" s="7"/>
    </row>
    <row r="285" spans="3:25" x14ac:dyDescent="0.2">
      <c r="C285" s="7"/>
      <c r="D285" s="7"/>
      <c r="E285" s="7"/>
      <c r="F285" s="55"/>
      <c r="G285" s="56"/>
      <c r="H285" s="7"/>
      <c r="I285" s="7"/>
      <c r="J285" s="7"/>
      <c r="K285" s="7"/>
      <c r="L285" s="7"/>
      <c r="M285" s="7"/>
      <c r="N285" s="7"/>
      <c r="O285" s="7"/>
      <c r="P285" s="7"/>
      <c r="Q285" s="7"/>
      <c r="R285" s="7"/>
      <c r="S285" s="7"/>
      <c r="T285" s="7"/>
      <c r="U285" s="7"/>
      <c r="V285" s="7"/>
      <c r="W285" s="7"/>
      <c r="X285" s="7"/>
      <c r="Y285" s="7"/>
    </row>
    <row r="286" spans="3:25" x14ac:dyDescent="0.2">
      <c r="C286" s="7"/>
      <c r="D286" s="7"/>
      <c r="E286" s="7"/>
      <c r="F286" s="55"/>
      <c r="G286" s="56"/>
      <c r="H286" s="7"/>
      <c r="I286" s="7"/>
      <c r="J286" s="7"/>
      <c r="K286" s="7"/>
      <c r="L286" s="7"/>
      <c r="M286" s="7"/>
      <c r="N286" s="7"/>
      <c r="O286" s="7"/>
      <c r="P286" s="7"/>
      <c r="Q286" s="7"/>
      <c r="R286" s="7"/>
      <c r="S286" s="7"/>
      <c r="T286" s="7"/>
      <c r="U286" s="7"/>
      <c r="V286" s="7"/>
      <c r="W286" s="7"/>
      <c r="X286" s="7"/>
      <c r="Y286" s="7"/>
    </row>
    <row r="287" spans="3:25" x14ac:dyDescent="0.2">
      <c r="C287" s="7"/>
      <c r="D287" s="7"/>
      <c r="E287" s="7"/>
      <c r="F287" s="55"/>
      <c r="G287" s="56"/>
      <c r="H287" s="7"/>
      <c r="I287" s="7"/>
      <c r="J287" s="7"/>
      <c r="K287" s="7"/>
      <c r="L287" s="7"/>
      <c r="M287" s="7"/>
      <c r="N287" s="7"/>
      <c r="O287" s="7"/>
      <c r="P287" s="7"/>
      <c r="Q287" s="7"/>
      <c r="R287" s="7"/>
      <c r="S287" s="7"/>
      <c r="T287" s="7"/>
      <c r="U287" s="7"/>
      <c r="V287" s="7"/>
      <c r="W287" s="7"/>
      <c r="X287" s="7"/>
      <c r="Y287" s="7"/>
    </row>
    <row r="288" spans="3:25" x14ac:dyDescent="0.2">
      <c r="C288" s="7"/>
      <c r="D288" s="7"/>
      <c r="E288" s="7"/>
      <c r="F288" s="55"/>
      <c r="G288" s="56"/>
      <c r="H288" s="7"/>
      <c r="I288" s="7"/>
      <c r="J288" s="7"/>
      <c r="K288" s="7"/>
      <c r="L288" s="7"/>
      <c r="M288" s="7"/>
      <c r="N288" s="7"/>
      <c r="O288" s="7"/>
      <c r="P288" s="7"/>
      <c r="Q288" s="7"/>
      <c r="R288" s="7"/>
      <c r="S288" s="7"/>
      <c r="T288" s="7"/>
      <c r="U288" s="7"/>
      <c r="V288" s="7"/>
      <c r="W288" s="7"/>
      <c r="X288" s="7"/>
      <c r="Y288" s="7"/>
    </row>
    <row r="289" spans="3:25" x14ac:dyDescent="0.2">
      <c r="C289" s="7"/>
      <c r="D289" s="7"/>
      <c r="E289" s="7"/>
      <c r="F289" s="55"/>
      <c r="G289" s="56"/>
      <c r="H289" s="7"/>
      <c r="I289" s="7"/>
      <c r="J289" s="7"/>
      <c r="K289" s="7"/>
      <c r="L289" s="7"/>
      <c r="M289" s="7"/>
      <c r="N289" s="7"/>
      <c r="O289" s="7"/>
      <c r="P289" s="7"/>
      <c r="Q289" s="7"/>
      <c r="R289" s="7"/>
      <c r="S289" s="7"/>
      <c r="T289" s="7"/>
      <c r="U289" s="7"/>
      <c r="V289" s="7"/>
      <c r="W289" s="7"/>
      <c r="X289" s="7"/>
      <c r="Y289" s="7"/>
    </row>
    <row r="290" spans="3:25" x14ac:dyDescent="0.2">
      <c r="C290" s="7"/>
      <c r="D290" s="7"/>
      <c r="E290" s="7"/>
      <c r="F290" s="55"/>
      <c r="G290" s="56"/>
      <c r="H290" s="7"/>
      <c r="I290" s="7"/>
      <c r="J290" s="7"/>
      <c r="K290" s="7"/>
      <c r="L290" s="7"/>
      <c r="M290" s="7"/>
      <c r="N290" s="7"/>
      <c r="O290" s="7"/>
      <c r="P290" s="7"/>
      <c r="Q290" s="7"/>
      <c r="R290" s="7"/>
      <c r="S290" s="7"/>
      <c r="T290" s="7"/>
      <c r="U290" s="7"/>
      <c r="V290" s="7"/>
      <c r="W290" s="7"/>
      <c r="X290" s="7"/>
      <c r="Y290" s="7"/>
    </row>
    <row r="291" spans="3:25" x14ac:dyDescent="0.2">
      <c r="C291" s="7"/>
      <c r="D291" s="7"/>
      <c r="E291" s="7"/>
      <c r="F291" s="55"/>
      <c r="G291" s="56"/>
      <c r="H291" s="7"/>
      <c r="I291" s="7"/>
      <c r="J291" s="7"/>
      <c r="K291" s="7"/>
      <c r="L291" s="7"/>
      <c r="M291" s="7"/>
      <c r="N291" s="7"/>
      <c r="O291" s="7"/>
      <c r="P291" s="7"/>
      <c r="Q291" s="7"/>
      <c r="R291" s="7"/>
      <c r="S291" s="7"/>
      <c r="T291" s="7"/>
      <c r="U291" s="7"/>
      <c r="V291" s="7"/>
      <c r="W291" s="7"/>
      <c r="X291" s="7"/>
      <c r="Y291" s="7"/>
    </row>
    <row r="292" spans="3:25" x14ac:dyDescent="0.2">
      <c r="C292" s="7"/>
      <c r="D292" s="7"/>
      <c r="E292" s="7"/>
      <c r="F292" s="55"/>
      <c r="G292" s="56"/>
      <c r="H292" s="7"/>
      <c r="I292" s="7"/>
      <c r="J292" s="7"/>
      <c r="K292" s="7"/>
      <c r="L292" s="7"/>
      <c r="M292" s="7"/>
      <c r="N292" s="7"/>
      <c r="O292" s="7"/>
      <c r="P292" s="7"/>
      <c r="Q292" s="7"/>
      <c r="R292" s="7"/>
      <c r="S292" s="7"/>
      <c r="T292" s="7"/>
      <c r="U292" s="7"/>
      <c r="V292" s="7"/>
      <c r="W292" s="7"/>
      <c r="X292" s="7"/>
      <c r="Y292" s="7"/>
    </row>
    <row r="293" spans="3:25" x14ac:dyDescent="0.2">
      <c r="C293" s="7"/>
      <c r="D293" s="7"/>
      <c r="E293" s="7"/>
      <c r="F293" s="55"/>
      <c r="G293" s="56"/>
      <c r="H293" s="7"/>
      <c r="I293" s="7"/>
      <c r="J293" s="7"/>
      <c r="K293" s="7"/>
      <c r="L293" s="7"/>
      <c r="M293" s="7"/>
      <c r="N293" s="7"/>
      <c r="O293" s="7"/>
      <c r="P293" s="7"/>
      <c r="Q293" s="7"/>
      <c r="R293" s="7"/>
      <c r="S293" s="7"/>
      <c r="T293" s="7"/>
      <c r="U293" s="7"/>
      <c r="V293" s="7"/>
      <c r="W293" s="7"/>
      <c r="X293" s="7"/>
      <c r="Y293" s="7"/>
    </row>
    <row r="294" spans="3:25" x14ac:dyDescent="0.2">
      <c r="C294" s="7"/>
      <c r="D294" s="7"/>
      <c r="E294" s="7"/>
      <c r="F294" s="55"/>
      <c r="G294" s="56"/>
      <c r="H294" s="7"/>
      <c r="I294" s="7"/>
      <c r="J294" s="7"/>
      <c r="K294" s="7"/>
      <c r="L294" s="7"/>
      <c r="M294" s="7"/>
      <c r="N294" s="7"/>
      <c r="O294" s="7"/>
      <c r="P294" s="7"/>
      <c r="Q294" s="7"/>
      <c r="R294" s="7"/>
      <c r="S294" s="7"/>
      <c r="T294" s="7"/>
      <c r="U294" s="7"/>
      <c r="V294" s="7"/>
      <c r="W294" s="7"/>
      <c r="X294" s="7"/>
      <c r="Y294" s="7"/>
    </row>
    <row r="295" spans="3:25" x14ac:dyDescent="0.2">
      <c r="C295" s="7"/>
      <c r="D295" s="7"/>
      <c r="E295" s="7"/>
      <c r="F295" s="7"/>
      <c r="G295" s="7"/>
      <c r="H295" s="7"/>
      <c r="I295" s="7"/>
      <c r="J295" s="7"/>
      <c r="K295" s="7"/>
      <c r="L295" s="7"/>
      <c r="M295" s="7"/>
      <c r="N295" s="7"/>
      <c r="O295" s="7"/>
      <c r="P295" s="7"/>
      <c r="Q295" s="7"/>
      <c r="R295" s="7"/>
      <c r="S295" s="7"/>
      <c r="T295" s="7"/>
      <c r="U295" s="7"/>
      <c r="V295" s="7"/>
      <c r="W295" s="7"/>
      <c r="X295" s="7"/>
      <c r="Y295" s="7"/>
    </row>
    <row r="296" spans="3:25" x14ac:dyDescent="0.2">
      <c r="C296" s="7"/>
      <c r="D296" s="7"/>
      <c r="E296" s="7"/>
      <c r="F296" s="7"/>
      <c r="G296" s="7"/>
      <c r="H296" s="7"/>
      <c r="I296" s="7"/>
      <c r="J296" s="7"/>
      <c r="K296" s="7"/>
      <c r="L296" s="7"/>
      <c r="M296" s="7"/>
      <c r="N296" s="7"/>
      <c r="O296" s="7"/>
      <c r="P296" s="7"/>
      <c r="Q296" s="7"/>
      <c r="R296" s="7"/>
      <c r="S296" s="7"/>
      <c r="T296" s="7"/>
      <c r="U296" s="7"/>
      <c r="V296" s="7"/>
      <c r="W296" s="7"/>
      <c r="X296" s="7"/>
      <c r="Y296" s="7"/>
    </row>
    <row r="297" spans="3:25" x14ac:dyDescent="0.2">
      <c r="C297" s="7"/>
      <c r="D297" s="7"/>
      <c r="E297" s="7"/>
      <c r="F297" s="7"/>
      <c r="G297" s="7"/>
      <c r="H297" s="7"/>
      <c r="I297" s="7"/>
      <c r="J297" s="7"/>
      <c r="K297" s="7"/>
      <c r="L297" s="7"/>
      <c r="M297" s="7"/>
      <c r="N297" s="7"/>
      <c r="O297" s="7"/>
      <c r="P297" s="7"/>
      <c r="Q297" s="7"/>
      <c r="R297" s="7"/>
      <c r="S297" s="7"/>
      <c r="T297" s="7"/>
      <c r="U297" s="7"/>
      <c r="V297" s="7"/>
      <c r="W297" s="7"/>
      <c r="X297" s="7"/>
      <c r="Y297" s="7"/>
    </row>
    <row r="298" spans="3:25" x14ac:dyDescent="0.2">
      <c r="C298" s="7"/>
      <c r="D298" s="7"/>
      <c r="E298" s="7"/>
      <c r="F298" s="7"/>
      <c r="G298" s="7"/>
      <c r="H298" s="7"/>
      <c r="I298" s="7"/>
      <c r="J298" s="7"/>
      <c r="K298" s="7"/>
      <c r="L298" s="7"/>
      <c r="M298" s="7"/>
      <c r="N298" s="7"/>
      <c r="O298" s="7"/>
      <c r="P298" s="7"/>
      <c r="Q298" s="7"/>
      <c r="R298" s="7"/>
      <c r="S298" s="7"/>
      <c r="T298" s="7"/>
      <c r="U298" s="7"/>
      <c r="V298" s="7"/>
      <c r="W298" s="7"/>
      <c r="X298" s="7"/>
      <c r="Y298" s="7"/>
    </row>
    <row r="299" spans="3:25" x14ac:dyDescent="0.2">
      <c r="C299" s="7"/>
      <c r="D299" s="7"/>
      <c r="E299" s="7"/>
      <c r="F299" s="7"/>
      <c r="G299" s="7"/>
      <c r="H299" s="7"/>
      <c r="I299" s="7"/>
      <c r="J299" s="7"/>
      <c r="K299" s="7"/>
      <c r="L299" s="7"/>
      <c r="M299" s="7"/>
      <c r="N299" s="7"/>
      <c r="O299" s="7"/>
      <c r="P299" s="7"/>
      <c r="Q299" s="7"/>
      <c r="R299" s="7"/>
      <c r="S299" s="7"/>
      <c r="T299" s="7"/>
      <c r="U299" s="7"/>
      <c r="V299" s="7"/>
      <c r="W299" s="7"/>
      <c r="X299" s="7"/>
      <c r="Y299" s="7"/>
    </row>
    <row r="300" spans="3:25" x14ac:dyDescent="0.2">
      <c r="C300" s="7"/>
      <c r="D300" s="7"/>
      <c r="E300" s="7"/>
      <c r="F300" s="7"/>
      <c r="G300" s="7"/>
      <c r="H300" s="7"/>
      <c r="I300" s="7"/>
      <c r="J300" s="7"/>
      <c r="K300" s="7"/>
      <c r="L300" s="7"/>
      <c r="M300" s="7"/>
      <c r="N300" s="7"/>
      <c r="O300" s="7"/>
      <c r="P300" s="7"/>
      <c r="Q300" s="7"/>
      <c r="R300" s="7"/>
      <c r="S300" s="7"/>
      <c r="T300" s="7"/>
      <c r="U300" s="7"/>
      <c r="V300" s="7"/>
      <c r="W300" s="7"/>
      <c r="X300" s="7"/>
      <c r="Y300" s="7"/>
    </row>
    <row r="301" spans="3:25" x14ac:dyDescent="0.2">
      <c r="C301" s="7"/>
      <c r="D301" s="7"/>
      <c r="E301" s="7"/>
      <c r="F301" s="7"/>
      <c r="G301" s="7"/>
      <c r="H301" s="7"/>
      <c r="I301" s="7"/>
      <c r="J301" s="7"/>
      <c r="K301" s="7"/>
      <c r="L301" s="7"/>
      <c r="M301" s="7"/>
      <c r="N301" s="7"/>
      <c r="O301" s="7"/>
      <c r="P301" s="7"/>
      <c r="Q301" s="7"/>
      <c r="R301" s="7"/>
      <c r="S301" s="7"/>
      <c r="T301" s="7"/>
      <c r="U301" s="7"/>
      <c r="V301" s="7"/>
      <c r="W301" s="7"/>
      <c r="X301" s="7"/>
      <c r="Y301" s="7"/>
    </row>
    <row r="302" spans="3:25" x14ac:dyDescent="0.2">
      <c r="C302" s="7"/>
      <c r="D302" s="7"/>
      <c r="E302" s="7"/>
      <c r="F302" s="7"/>
      <c r="G302" s="7"/>
      <c r="H302" s="7"/>
      <c r="I302" s="7"/>
      <c r="J302" s="7"/>
      <c r="K302" s="7"/>
      <c r="L302" s="7"/>
      <c r="M302" s="7"/>
      <c r="N302" s="7"/>
      <c r="O302" s="7"/>
      <c r="P302" s="7"/>
      <c r="Q302" s="7"/>
      <c r="R302" s="7"/>
      <c r="S302" s="7"/>
      <c r="T302" s="7"/>
      <c r="U302" s="7"/>
      <c r="V302" s="7"/>
      <c r="W302" s="7"/>
      <c r="X302" s="7"/>
      <c r="Y302" s="7"/>
    </row>
    <row r="303" spans="3:25" x14ac:dyDescent="0.2">
      <c r="C303" s="7"/>
      <c r="D303" s="7"/>
      <c r="E303" s="7"/>
      <c r="F303" s="7"/>
      <c r="G303" s="7"/>
      <c r="H303" s="7"/>
      <c r="I303" s="7"/>
      <c r="J303" s="7"/>
      <c r="K303" s="7"/>
      <c r="L303" s="7"/>
      <c r="M303" s="7"/>
      <c r="N303" s="7"/>
      <c r="O303" s="7"/>
      <c r="P303" s="7"/>
      <c r="Q303" s="7"/>
      <c r="R303" s="7"/>
      <c r="S303" s="7"/>
      <c r="T303" s="7"/>
      <c r="U303" s="7"/>
      <c r="V303" s="7"/>
      <c r="W303" s="7"/>
      <c r="X303" s="7"/>
      <c r="Y303" s="7"/>
    </row>
    <row r="304" spans="3:25" x14ac:dyDescent="0.2">
      <c r="C304" s="7"/>
      <c r="D304" s="7"/>
      <c r="E304" s="7"/>
      <c r="F304" s="7"/>
      <c r="G304" s="7"/>
      <c r="H304" s="7"/>
      <c r="I304" s="7"/>
      <c r="J304" s="7"/>
      <c r="K304" s="7"/>
      <c r="L304" s="7"/>
      <c r="M304" s="7"/>
      <c r="N304" s="7"/>
      <c r="O304" s="7"/>
      <c r="P304" s="7"/>
      <c r="Q304" s="7"/>
      <c r="R304" s="7"/>
      <c r="S304" s="7"/>
      <c r="T304" s="7"/>
      <c r="U304" s="7"/>
      <c r="V304" s="7"/>
      <c r="W304" s="7"/>
      <c r="X304" s="7"/>
      <c r="Y304" s="7"/>
    </row>
    <row r="305" spans="3:25" x14ac:dyDescent="0.2">
      <c r="C305" s="7"/>
      <c r="D305" s="7"/>
      <c r="E305" s="7"/>
      <c r="F305" s="7"/>
      <c r="G305" s="7"/>
      <c r="H305" s="7"/>
      <c r="I305" s="7"/>
      <c r="J305" s="7"/>
      <c r="K305" s="7"/>
      <c r="L305" s="7"/>
      <c r="M305" s="7"/>
      <c r="N305" s="7"/>
      <c r="O305" s="7"/>
      <c r="P305" s="7"/>
      <c r="Q305" s="7"/>
      <c r="R305" s="7"/>
      <c r="S305" s="7"/>
      <c r="T305" s="7"/>
      <c r="U305" s="7"/>
      <c r="V305" s="7"/>
      <c r="W305" s="7"/>
      <c r="X305" s="7"/>
      <c r="Y305" s="7"/>
    </row>
    <row r="306" spans="3:25" x14ac:dyDescent="0.2">
      <c r="C306" s="7"/>
      <c r="D306" s="7"/>
      <c r="E306" s="7"/>
      <c r="F306" s="7"/>
      <c r="G306" s="7"/>
      <c r="H306" s="7"/>
      <c r="I306" s="7"/>
      <c r="J306" s="7"/>
      <c r="K306" s="7"/>
      <c r="L306" s="7"/>
      <c r="M306" s="7"/>
      <c r="N306" s="7"/>
      <c r="O306" s="7"/>
      <c r="P306" s="7"/>
      <c r="Q306" s="7"/>
      <c r="R306" s="7"/>
      <c r="S306" s="7"/>
      <c r="T306" s="7"/>
      <c r="U306" s="7"/>
      <c r="V306" s="7"/>
      <c r="W306" s="7"/>
      <c r="X306" s="7"/>
      <c r="Y306" s="7"/>
    </row>
    <row r="307" spans="3:25" x14ac:dyDescent="0.2">
      <c r="C307" s="7"/>
      <c r="D307" s="7"/>
      <c r="E307" s="7"/>
      <c r="F307" s="7"/>
      <c r="G307" s="7"/>
      <c r="H307" s="7"/>
      <c r="I307" s="7"/>
      <c r="J307" s="7"/>
      <c r="K307" s="7"/>
      <c r="L307" s="7"/>
      <c r="M307" s="7"/>
      <c r="N307" s="7"/>
      <c r="O307" s="7"/>
      <c r="P307" s="7"/>
      <c r="Q307" s="7"/>
      <c r="R307" s="7"/>
      <c r="S307" s="7"/>
      <c r="T307" s="7"/>
      <c r="U307" s="7"/>
      <c r="V307" s="7"/>
      <c r="W307" s="7"/>
      <c r="X307" s="7"/>
      <c r="Y307" s="7"/>
    </row>
    <row r="308" spans="3:25" x14ac:dyDescent="0.2">
      <c r="C308" s="7"/>
      <c r="D308" s="7"/>
      <c r="E308" s="7"/>
      <c r="F308" s="7"/>
      <c r="G308" s="7"/>
      <c r="H308" s="7"/>
      <c r="I308" s="7"/>
      <c r="J308" s="7"/>
      <c r="K308" s="7"/>
      <c r="L308" s="7"/>
      <c r="M308" s="7"/>
      <c r="N308" s="7"/>
      <c r="O308" s="7"/>
      <c r="P308" s="7"/>
      <c r="Q308" s="7"/>
      <c r="R308" s="7"/>
      <c r="S308" s="7"/>
      <c r="T308" s="7"/>
      <c r="U308" s="7"/>
      <c r="V308" s="7"/>
      <c r="W308" s="7"/>
      <c r="X308" s="7"/>
      <c r="Y308" s="7"/>
    </row>
    <row r="309" spans="3:25" x14ac:dyDescent="0.2">
      <c r="C309" s="7"/>
      <c r="D309" s="7"/>
      <c r="E309" s="7"/>
      <c r="F309" s="7"/>
      <c r="G309" s="7"/>
      <c r="H309" s="7"/>
      <c r="I309" s="7"/>
      <c r="J309" s="7"/>
      <c r="K309" s="7"/>
      <c r="L309" s="7"/>
      <c r="M309" s="7"/>
      <c r="N309" s="7"/>
      <c r="O309" s="7"/>
      <c r="P309" s="7"/>
      <c r="Q309" s="7"/>
      <c r="R309" s="7"/>
      <c r="S309" s="7"/>
      <c r="T309" s="7"/>
      <c r="U309" s="7"/>
      <c r="V309" s="7"/>
      <c r="W309" s="7"/>
      <c r="X309" s="7"/>
      <c r="Y309" s="7"/>
    </row>
    <row r="310" spans="3:25" x14ac:dyDescent="0.2">
      <c r="C310" s="7"/>
      <c r="D310" s="7"/>
      <c r="E310" s="7"/>
      <c r="F310" s="7"/>
      <c r="G310" s="7"/>
      <c r="H310" s="7"/>
      <c r="I310" s="7"/>
      <c r="J310" s="7"/>
      <c r="K310" s="7"/>
      <c r="L310" s="7"/>
      <c r="M310" s="7"/>
      <c r="N310" s="7"/>
      <c r="O310" s="7"/>
      <c r="P310" s="7"/>
      <c r="Q310" s="7"/>
      <c r="R310" s="7"/>
      <c r="S310" s="7"/>
      <c r="T310" s="7"/>
      <c r="U310" s="7"/>
      <c r="V310" s="7"/>
      <c r="W310" s="7"/>
      <c r="X310" s="7"/>
      <c r="Y310" s="7"/>
    </row>
    <row r="311" spans="3:25" x14ac:dyDescent="0.2">
      <c r="C311" s="7"/>
      <c r="D311" s="7"/>
      <c r="E311" s="7"/>
      <c r="F311" s="7"/>
      <c r="G311" s="7"/>
      <c r="H311" s="7"/>
      <c r="I311" s="7"/>
      <c r="J311" s="7"/>
      <c r="K311" s="7"/>
      <c r="L311" s="7"/>
      <c r="M311" s="7"/>
      <c r="N311" s="7"/>
      <c r="O311" s="7"/>
      <c r="P311" s="7"/>
      <c r="Q311" s="7"/>
      <c r="R311" s="7"/>
      <c r="S311" s="7"/>
      <c r="T311" s="7"/>
      <c r="U311" s="7"/>
      <c r="V311" s="7"/>
      <c r="W311" s="7"/>
      <c r="X311" s="7"/>
      <c r="Y311" s="7"/>
    </row>
    <row r="312" spans="3:25" x14ac:dyDescent="0.2">
      <c r="C312" s="7"/>
      <c r="D312" s="7"/>
      <c r="E312" s="7"/>
      <c r="F312" s="7"/>
      <c r="G312" s="7"/>
      <c r="H312" s="7"/>
      <c r="I312" s="7"/>
      <c r="J312" s="7"/>
      <c r="K312" s="7"/>
      <c r="L312" s="7"/>
      <c r="M312" s="7"/>
      <c r="N312" s="7"/>
      <c r="O312" s="7"/>
      <c r="P312" s="7"/>
      <c r="Q312" s="7"/>
      <c r="R312" s="7"/>
      <c r="S312" s="7"/>
      <c r="T312" s="7"/>
      <c r="U312" s="7"/>
      <c r="V312" s="7"/>
      <c r="W312" s="7"/>
      <c r="X312" s="7"/>
      <c r="Y312" s="7"/>
    </row>
    <row r="313" spans="3:25" x14ac:dyDescent="0.2">
      <c r="C313" s="7"/>
      <c r="D313" s="7"/>
      <c r="E313" s="7"/>
      <c r="F313" s="7"/>
      <c r="G313" s="7"/>
      <c r="H313" s="7"/>
      <c r="I313" s="7"/>
      <c r="J313" s="7"/>
      <c r="K313" s="7"/>
      <c r="L313" s="7"/>
      <c r="M313" s="7"/>
      <c r="N313" s="7"/>
      <c r="O313" s="7"/>
      <c r="P313" s="7"/>
      <c r="Q313" s="7"/>
      <c r="R313" s="7"/>
      <c r="S313" s="7"/>
      <c r="T313" s="7"/>
      <c r="U313" s="7"/>
      <c r="V313" s="7"/>
      <c r="W313" s="7"/>
      <c r="X313" s="7"/>
      <c r="Y313" s="7"/>
    </row>
    <row r="314" spans="3:25" x14ac:dyDescent="0.2">
      <c r="C314" s="7"/>
      <c r="D314" s="7"/>
      <c r="E314" s="7"/>
      <c r="F314" s="7"/>
      <c r="G314" s="7"/>
      <c r="H314" s="7"/>
      <c r="I314" s="7"/>
      <c r="J314" s="7"/>
      <c r="K314" s="7"/>
      <c r="L314" s="7"/>
      <c r="M314" s="7"/>
      <c r="N314" s="7"/>
      <c r="O314" s="7"/>
      <c r="P314" s="7"/>
      <c r="Q314" s="7"/>
      <c r="R314" s="7"/>
      <c r="S314" s="7"/>
      <c r="T314" s="7"/>
      <c r="U314" s="7"/>
      <c r="V314" s="7"/>
      <c r="W314" s="7"/>
      <c r="X314" s="7"/>
      <c r="Y314" s="7"/>
    </row>
    <row r="315" spans="3:25" x14ac:dyDescent="0.2">
      <c r="C315" s="7"/>
      <c r="D315" s="7"/>
      <c r="E315" s="7"/>
      <c r="F315" s="7"/>
      <c r="G315" s="7"/>
      <c r="H315" s="7"/>
      <c r="I315" s="7"/>
      <c r="J315" s="7"/>
      <c r="K315" s="7"/>
      <c r="L315" s="7"/>
      <c r="M315" s="7"/>
      <c r="N315" s="7"/>
      <c r="O315" s="7"/>
      <c r="P315" s="7"/>
      <c r="Q315" s="7"/>
      <c r="R315" s="7"/>
      <c r="S315" s="7"/>
      <c r="T315" s="7"/>
      <c r="U315" s="7"/>
      <c r="V315" s="7"/>
      <c r="W315" s="7"/>
      <c r="X315" s="7"/>
      <c r="Y315" s="7"/>
    </row>
    <row r="316" spans="3:25" x14ac:dyDescent="0.2">
      <c r="C316" s="7"/>
      <c r="D316" s="7"/>
      <c r="E316" s="7"/>
      <c r="F316" s="7"/>
      <c r="G316" s="7"/>
      <c r="H316" s="7"/>
      <c r="I316" s="7"/>
      <c r="J316" s="7"/>
      <c r="K316" s="7"/>
      <c r="L316" s="7"/>
      <c r="M316" s="7"/>
      <c r="N316" s="7"/>
      <c r="O316" s="7"/>
      <c r="P316" s="7"/>
      <c r="Q316" s="7"/>
      <c r="R316" s="7"/>
      <c r="S316" s="7"/>
      <c r="T316" s="7"/>
      <c r="U316" s="7"/>
      <c r="V316" s="7"/>
      <c r="W316" s="7"/>
      <c r="X316" s="7"/>
      <c r="Y316" s="7"/>
    </row>
    <row r="317" spans="3:25" x14ac:dyDescent="0.2">
      <c r="C317" s="7"/>
      <c r="D317" s="7"/>
      <c r="E317" s="7"/>
      <c r="F317" s="7"/>
      <c r="G317" s="7"/>
      <c r="H317" s="7"/>
      <c r="I317" s="7"/>
      <c r="J317" s="7"/>
      <c r="K317" s="7"/>
      <c r="L317" s="7"/>
      <c r="M317" s="7"/>
      <c r="N317" s="7"/>
      <c r="O317" s="7"/>
      <c r="P317" s="7"/>
      <c r="Q317" s="7"/>
      <c r="R317" s="7"/>
      <c r="S317" s="7"/>
      <c r="T317" s="7"/>
      <c r="U317" s="7"/>
      <c r="V317" s="7"/>
      <c r="W317" s="7"/>
      <c r="X317" s="7"/>
      <c r="Y317" s="7"/>
    </row>
    <row r="318" spans="3:25" x14ac:dyDescent="0.2">
      <c r="C318" s="7"/>
      <c r="D318" s="7"/>
      <c r="E318" s="7"/>
      <c r="F318" s="7"/>
      <c r="G318" s="7"/>
      <c r="H318" s="7"/>
      <c r="I318" s="7"/>
      <c r="J318" s="7"/>
      <c r="K318" s="7"/>
      <c r="L318" s="7"/>
      <c r="M318" s="7"/>
      <c r="N318" s="7"/>
      <c r="O318" s="7"/>
      <c r="P318" s="7"/>
      <c r="Q318" s="7"/>
      <c r="R318" s="7"/>
      <c r="S318" s="7"/>
      <c r="T318" s="7"/>
      <c r="U318" s="7"/>
      <c r="V318" s="7"/>
      <c r="W318" s="7"/>
      <c r="X318" s="7"/>
      <c r="Y318" s="7"/>
    </row>
    <row r="319" spans="3:25" x14ac:dyDescent="0.2">
      <c r="C319" s="7"/>
      <c r="D319" s="7"/>
      <c r="E319" s="7"/>
      <c r="F319" s="7"/>
      <c r="G319" s="7"/>
      <c r="H319" s="7"/>
      <c r="I319" s="7"/>
      <c r="J319" s="7"/>
      <c r="K319" s="7"/>
      <c r="L319" s="7"/>
      <c r="M319" s="7"/>
      <c r="N319" s="7"/>
      <c r="O319" s="7"/>
      <c r="P319" s="7"/>
      <c r="Q319" s="7"/>
      <c r="R319" s="7"/>
      <c r="S319" s="7"/>
      <c r="T319" s="7"/>
      <c r="U319" s="7"/>
      <c r="V319" s="7"/>
      <c r="W319" s="7"/>
      <c r="X319" s="7"/>
      <c r="Y319" s="7"/>
    </row>
    <row r="320" spans="3:25" x14ac:dyDescent="0.2">
      <c r="C320" s="7"/>
      <c r="D320" s="7"/>
      <c r="E320" s="7"/>
      <c r="F320" s="7"/>
      <c r="G320" s="7"/>
      <c r="H320" s="7"/>
      <c r="I320" s="7"/>
      <c r="J320" s="7"/>
      <c r="K320" s="7"/>
      <c r="L320" s="7"/>
      <c r="M320" s="7"/>
      <c r="N320" s="7"/>
      <c r="O320" s="7"/>
      <c r="P320" s="7"/>
      <c r="Q320" s="7"/>
      <c r="R320" s="7"/>
      <c r="S320" s="7"/>
      <c r="T320" s="7"/>
      <c r="U320" s="7"/>
      <c r="V320" s="7"/>
      <c r="W320" s="7"/>
      <c r="X320" s="7"/>
      <c r="Y320" s="7"/>
    </row>
    <row r="321" spans="3:25" x14ac:dyDescent="0.2">
      <c r="C321" s="7"/>
      <c r="D321" s="7"/>
      <c r="E321" s="7"/>
      <c r="F321" s="7"/>
      <c r="G321" s="7"/>
      <c r="H321" s="7"/>
      <c r="I321" s="7"/>
      <c r="J321" s="7"/>
      <c r="K321" s="7"/>
      <c r="L321" s="7"/>
      <c r="M321" s="7"/>
      <c r="N321" s="7"/>
      <c r="O321" s="7"/>
      <c r="P321" s="7"/>
      <c r="Q321" s="7"/>
      <c r="R321" s="7"/>
      <c r="S321" s="7"/>
      <c r="T321" s="7"/>
      <c r="U321" s="7"/>
      <c r="V321" s="7"/>
      <c r="W321" s="7"/>
      <c r="X321" s="7"/>
      <c r="Y321" s="7"/>
    </row>
    <row r="322" spans="3:25" x14ac:dyDescent="0.2">
      <c r="C322" s="7"/>
      <c r="D322" s="7"/>
      <c r="E322" s="7"/>
      <c r="F322" s="7"/>
      <c r="G322" s="7"/>
      <c r="H322" s="7"/>
      <c r="I322" s="7"/>
      <c r="J322" s="7"/>
      <c r="K322" s="7"/>
      <c r="L322" s="7"/>
      <c r="M322" s="7"/>
      <c r="N322" s="7"/>
      <c r="O322" s="7"/>
      <c r="P322" s="7"/>
      <c r="Q322" s="7"/>
      <c r="R322" s="7"/>
      <c r="S322" s="7"/>
      <c r="T322" s="7"/>
      <c r="U322" s="7"/>
      <c r="V322" s="7"/>
      <c r="W322" s="7"/>
      <c r="X322" s="7"/>
      <c r="Y322" s="7"/>
    </row>
    <row r="323" spans="3:25" x14ac:dyDescent="0.2">
      <c r="C323" s="7"/>
      <c r="D323" s="7"/>
      <c r="E323" s="7"/>
      <c r="F323" s="7"/>
      <c r="G323" s="7"/>
      <c r="H323" s="7"/>
      <c r="I323" s="7"/>
      <c r="J323" s="7"/>
      <c r="K323" s="7"/>
      <c r="L323" s="7"/>
      <c r="M323" s="7"/>
      <c r="N323" s="7"/>
      <c r="O323" s="7"/>
      <c r="P323" s="7"/>
      <c r="Q323" s="7"/>
      <c r="R323" s="7"/>
      <c r="S323" s="7"/>
      <c r="T323" s="7"/>
      <c r="U323" s="7"/>
      <c r="V323" s="7"/>
      <c r="W323" s="7"/>
      <c r="X323" s="7"/>
      <c r="Y323" s="7"/>
    </row>
    <row r="324" spans="3:25" x14ac:dyDescent="0.2">
      <c r="C324" s="7"/>
      <c r="D324" s="7"/>
      <c r="E324" s="7"/>
      <c r="F324" s="7"/>
      <c r="G324" s="7"/>
      <c r="H324" s="7"/>
      <c r="I324" s="7"/>
      <c r="J324" s="7"/>
      <c r="K324" s="7"/>
      <c r="L324" s="7"/>
      <c r="M324" s="7"/>
      <c r="N324" s="7"/>
      <c r="O324" s="7"/>
      <c r="P324" s="7"/>
      <c r="Q324" s="7"/>
      <c r="R324" s="7"/>
      <c r="S324" s="7"/>
      <c r="T324" s="7"/>
      <c r="U324" s="7"/>
      <c r="V324" s="7"/>
      <c r="W324" s="7"/>
      <c r="X324" s="7"/>
      <c r="Y324" s="7"/>
    </row>
    <row r="325" spans="3:25" x14ac:dyDescent="0.2">
      <c r="C325" s="7"/>
      <c r="D325" s="7"/>
      <c r="E325" s="7"/>
      <c r="F325" s="7"/>
      <c r="G325" s="7"/>
      <c r="H325" s="7"/>
      <c r="I325" s="7"/>
      <c r="J325" s="7"/>
      <c r="K325" s="7"/>
      <c r="L325" s="7"/>
      <c r="M325" s="7"/>
      <c r="N325" s="7"/>
      <c r="O325" s="7"/>
      <c r="P325" s="7"/>
      <c r="Q325" s="7"/>
      <c r="R325" s="7"/>
      <c r="S325" s="7"/>
      <c r="T325" s="7"/>
      <c r="U325" s="7"/>
      <c r="V325" s="7"/>
      <c r="W325" s="7"/>
      <c r="X325" s="7"/>
      <c r="Y325" s="7"/>
    </row>
    <row r="326" spans="3:25" x14ac:dyDescent="0.2">
      <c r="C326" s="7"/>
      <c r="D326" s="7"/>
      <c r="E326" s="7"/>
      <c r="F326" s="7"/>
      <c r="G326" s="7"/>
      <c r="H326" s="7"/>
      <c r="I326" s="7"/>
      <c r="J326" s="7"/>
      <c r="K326" s="7"/>
      <c r="L326" s="7"/>
      <c r="M326" s="7"/>
      <c r="N326" s="7"/>
      <c r="O326" s="7"/>
      <c r="P326" s="7"/>
      <c r="Q326" s="7"/>
      <c r="R326" s="7"/>
      <c r="S326" s="7"/>
      <c r="T326" s="7"/>
      <c r="U326" s="7"/>
      <c r="V326" s="7"/>
      <c r="W326" s="7"/>
      <c r="X326" s="7"/>
      <c r="Y326" s="7"/>
    </row>
    <row r="327" spans="3:25" x14ac:dyDescent="0.2">
      <c r="C327" s="7"/>
      <c r="D327" s="7"/>
      <c r="E327" s="7"/>
      <c r="F327" s="7"/>
      <c r="G327" s="7"/>
      <c r="H327" s="7"/>
      <c r="I327" s="7"/>
      <c r="J327" s="7"/>
      <c r="K327" s="7"/>
      <c r="L327" s="7"/>
      <c r="M327" s="7"/>
      <c r="N327" s="7"/>
      <c r="O327" s="7"/>
      <c r="P327" s="7"/>
      <c r="Q327" s="7"/>
      <c r="R327" s="7"/>
      <c r="S327" s="7"/>
      <c r="T327" s="7"/>
      <c r="U327" s="7"/>
      <c r="V327" s="7"/>
      <c r="W327" s="7"/>
      <c r="X327" s="7"/>
      <c r="Y327" s="7"/>
    </row>
    <row r="328" spans="3:25" x14ac:dyDescent="0.2">
      <c r="C328" s="7"/>
      <c r="D328" s="7"/>
      <c r="E328" s="7"/>
      <c r="F328" s="7"/>
      <c r="G328" s="7"/>
      <c r="H328" s="7"/>
      <c r="I328" s="7"/>
      <c r="J328" s="7"/>
      <c r="K328" s="7"/>
      <c r="L328" s="7"/>
      <c r="M328" s="7"/>
      <c r="N328" s="7"/>
      <c r="O328" s="7"/>
      <c r="P328" s="7"/>
      <c r="Q328" s="7"/>
      <c r="R328" s="7"/>
      <c r="S328" s="7"/>
      <c r="T328" s="7"/>
      <c r="U328" s="7"/>
      <c r="V328" s="7"/>
      <c r="W328" s="7"/>
      <c r="X328" s="7"/>
      <c r="Y328" s="7"/>
    </row>
    <row r="329" spans="3:25" x14ac:dyDescent="0.2">
      <c r="C329" s="7"/>
      <c r="D329" s="7"/>
      <c r="E329" s="7"/>
      <c r="F329" s="7"/>
      <c r="G329" s="7"/>
      <c r="H329" s="7"/>
      <c r="I329" s="7"/>
      <c r="J329" s="7"/>
      <c r="K329" s="7"/>
      <c r="L329" s="7"/>
      <c r="M329" s="7"/>
      <c r="N329" s="7"/>
      <c r="O329" s="7"/>
      <c r="P329" s="7"/>
      <c r="Q329" s="7"/>
      <c r="R329" s="7"/>
      <c r="S329" s="7"/>
      <c r="T329" s="7"/>
      <c r="U329" s="7"/>
      <c r="V329" s="7"/>
      <c r="W329" s="7"/>
      <c r="X329" s="7"/>
      <c r="Y329" s="7"/>
    </row>
    <row r="330" spans="3:25" x14ac:dyDescent="0.2">
      <c r="C330" s="7"/>
      <c r="D330" s="7"/>
      <c r="E330" s="7"/>
      <c r="F330" s="7"/>
      <c r="G330" s="7"/>
      <c r="H330" s="7"/>
      <c r="I330" s="7"/>
      <c r="J330" s="7"/>
      <c r="K330" s="7"/>
      <c r="L330" s="7"/>
      <c r="M330" s="7"/>
      <c r="N330" s="7"/>
      <c r="O330" s="7"/>
      <c r="P330" s="7"/>
      <c r="Q330" s="7"/>
      <c r="R330" s="7"/>
      <c r="S330" s="7"/>
      <c r="T330" s="7"/>
      <c r="U330" s="7"/>
      <c r="V330" s="7"/>
      <c r="W330" s="7"/>
      <c r="X330" s="7"/>
      <c r="Y330" s="7"/>
    </row>
    <row r="331" spans="3:25" x14ac:dyDescent="0.2">
      <c r="C331" s="7"/>
      <c r="D331" s="7"/>
      <c r="E331" s="7"/>
      <c r="F331" s="7"/>
      <c r="G331" s="7"/>
      <c r="H331" s="7"/>
      <c r="I331" s="7"/>
      <c r="J331" s="7"/>
      <c r="K331" s="7"/>
      <c r="L331" s="7"/>
      <c r="M331" s="7"/>
      <c r="N331" s="7"/>
      <c r="O331" s="7"/>
      <c r="P331" s="7"/>
      <c r="Q331" s="7"/>
      <c r="R331" s="7"/>
      <c r="S331" s="7"/>
      <c r="T331" s="7"/>
      <c r="U331" s="7"/>
      <c r="V331" s="7"/>
      <c r="W331" s="7"/>
      <c r="X331" s="7"/>
      <c r="Y331" s="7"/>
    </row>
    <row r="332" spans="3:25" x14ac:dyDescent="0.2">
      <c r="C332" s="7"/>
      <c r="D332" s="7"/>
      <c r="E332" s="7"/>
      <c r="F332" s="7"/>
      <c r="G332" s="7"/>
      <c r="H332" s="7"/>
      <c r="I332" s="7"/>
      <c r="J332" s="7"/>
      <c r="K332" s="7"/>
      <c r="L332" s="7"/>
      <c r="M332" s="7"/>
      <c r="N332" s="7"/>
      <c r="O332" s="7"/>
      <c r="P332" s="7"/>
      <c r="Q332" s="7"/>
      <c r="R332" s="7"/>
      <c r="S332" s="7"/>
      <c r="T332" s="7"/>
      <c r="U332" s="7"/>
      <c r="V332" s="7"/>
      <c r="W332" s="7"/>
      <c r="X332" s="7"/>
      <c r="Y332" s="7"/>
    </row>
    <row r="333" spans="3:25" x14ac:dyDescent="0.2">
      <c r="C333" s="7"/>
      <c r="D333" s="7"/>
      <c r="E333" s="7"/>
      <c r="F333" s="7"/>
      <c r="G333" s="7"/>
      <c r="H333" s="7"/>
      <c r="I333" s="7"/>
      <c r="J333" s="7"/>
      <c r="K333" s="7"/>
      <c r="L333" s="7"/>
      <c r="M333" s="7"/>
      <c r="N333" s="7"/>
      <c r="O333" s="7"/>
      <c r="P333" s="7"/>
      <c r="Q333" s="7"/>
      <c r="R333" s="7"/>
      <c r="S333" s="7"/>
      <c r="T333" s="7"/>
      <c r="U333" s="7"/>
      <c r="V333" s="7"/>
      <c r="W333" s="7"/>
      <c r="X333" s="7"/>
      <c r="Y333" s="7"/>
    </row>
    <row r="334" spans="3:25" x14ac:dyDescent="0.2">
      <c r="C334" s="7"/>
      <c r="D334" s="7"/>
      <c r="E334" s="7"/>
      <c r="F334" s="7"/>
      <c r="G334" s="7"/>
      <c r="H334" s="7"/>
      <c r="I334" s="7"/>
      <c r="J334" s="7"/>
      <c r="K334" s="7"/>
      <c r="L334" s="7"/>
      <c r="M334" s="7"/>
      <c r="N334" s="7"/>
      <c r="O334" s="7"/>
      <c r="P334" s="7"/>
      <c r="Q334" s="7"/>
      <c r="R334" s="7"/>
      <c r="S334" s="7"/>
      <c r="T334" s="7"/>
      <c r="U334" s="7"/>
      <c r="V334" s="7"/>
      <c r="W334" s="7"/>
      <c r="X334" s="7"/>
      <c r="Y334" s="7"/>
    </row>
    <row r="335" spans="3:25" x14ac:dyDescent="0.2">
      <c r="C335" s="7"/>
      <c r="D335" s="7"/>
      <c r="E335" s="7"/>
      <c r="F335" s="7"/>
      <c r="G335" s="7"/>
      <c r="H335" s="7"/>
      <c r="I335" s="7"/>
      <c r="J335" s="7"/>
      <c r="K335" s="7"/>
      <c r="L335" s="7"/>
      <c r="M335" s="7"/>
      <c r="N335" s="7"/>
      <c r="O335" s="7"/>
      <c r="P335" s="7"/>
      <c r="Q335" s="7"/>
      <c r="R335" s="7"/>
      <c r="S335" s="7"/>
      <c r="T335" s="7"/>
      <c r="U335" s="7"/>
      <c r="V335" s="7"/>
      <c r="W335" s="7"/>
      <c r="X335" s="7"/>
      <c r="Y335" s="7"/>
    </row>
    <row r="336" spans="3:25" x14ac:dyDescent="0.2">
      <c r="C336" s="7"/>
      <c r="D336" s="7"/>
      <c r="E336" s="7"/>
      <c r="F336" s="7"/>
      <c r="G336" s="7"/>
      <c r="H336" s="7"/>
      <c r="I336" s="7"/>
      <c r="J336" s="7"/>
      <c r="K336" s="7"/>
      <c r="L336" s="7"/>
      <c r="M336" s="7"/>
      <c r="N336" s="7"/>
      <c r="O336" s="7"/>
      <c r="P336" s="7"/>
      <c r="Q336" s="7"/>
      <c r="R336" s="7"/>
      <c r="S336" s="7"/>
      <c r="T336" s="7"/>
      <c r="U336" s="7"/>
      <c r="V336" s="7"/>
      <c r="W336" s="7"/>
      <c r="X336" s="7"/>
      <c r="Y336" s="7"/>
    </row>
    <row r="337" spans="3:25" x14ac:dyDescent="0.2">
      <c r="C337" s="7"/>
      <c r="D337" s="7"/>
      <c r="E337" s="7"/>
      <c r="F337" s="7"/>
      <c r="G337" s="7"/>
      <c r="H337" s="7"/>
      <c r="I337" s="7"/>
      <c r="J337" s="7"/>
      <c r="K337" s="7"/>
      <c r="L337" s="7"/>
      <c r="M337" s="7"/>
      <c r="N337" s="7"/>
      <c r="O337" s="7"/>
      <c r="P337" s="7"/>
      <c r="Q337" s="7"/>
      <c r="R337" s="7"/>
      <c r="S337" s="7"/>
      <c r="T337" s="7"/>
      <c r="U337" s="7"/>
      <c r="V337" s="7"/>
      <c r="W337" s="7"/>
      <c r="X337" s="7"/>
      <c r="Y337" s="7"/>
    </row>
    <row r="338" spans="3:25" x14ac:dyDescent="0.2">
      <c r="C338" s="7"/>
      <c r="D338" s="7"/>
      <c r="E338" s="7"/>
      <c r="F338" s="7"/>
      <c r="G338" s="7"/>
      <c r="H338" s="7"/>
      <c r="I338" s="7"/>
      <c r="J338" s="7"/>
      <c r="K338" s="7"/>
      <c r="L338" s="7"/>
      <c r="M338" s="7"/>
      <c r="N338" s="7"/>
      <c r="O338" s="7"/>
      <c r="P338" s="7"/>
      <c r="Q338" s="7"/>
      <c r="R338" s="7"/>
      <c r="S338" s="7"/>
      <c r="T338" s="7"/>
      <c r="U338" s="7"/>
      <c r="V338" s="7"/>
      <c r="W338" s="7"/>
      <c r="X338" s="7"/>
      <c r="Y338" s="7"/>
    </row>
    <row r="339" spans="3:25" x14ac:dyDescent="0.2">
      <c r="C339" s="7"/>
      <c r="D339" s="7"/>
      <c r="E339" s="7"/>
      <c r="F339" s="7"/>
      <c r="G339" s="7"/>
      <c r="H339" s="7"/>
      <c r="I339" s="7"/>
      <c r="J339" s="7"/>
      <c r="K339" s="7"/>
      <c r="L339" s="7"/>
      <c r="M339" s="7"/>
      <c r="N339" s="7"/>
      <c r="O339" s="7"/>
      <c r="P339" s="7"/>
      <c r="Q339" s="7"/>
      <c r="R339" s="7"/>
      <c r="S339" s="7"/>
      <c r="T339" s="7"/>
      <c r="U339" s="7"/>
      <c r="V339" s="7"/>
      <c r="W339" s="7"/>
      <c r="X339" s="7"/>
      <c r="Y339" s="7"/>
    </row>
    <row r="340" spans="3:25" x14ac:dyDescent="0.2">
      <c r="C340" s="7"/>
      <c r="D340" s="7"/>
      <c r="E340" s="7"/>
      <c r="F340" s="7"/>
      <c r="G340" s="7"/>
      <c r="H340" s="7"/>
      <c r="I340" s="7"/>
      <c r="J340" s="7"/>
      <c r="K340" s="7"/>
      <c r="L340" s="7"/>
      <c r="M340" s="7"/>
      <c r="N340" s="7"/>
      <c r="O340" s="7"/>
      <c r="P340" s="7"/>
      <c r="Q340" s="7"/>
      <c r="R340" s="7"/>
      <c r="S340" s="7"/>
      <c r="T340" s="7"/>
      <c r="U340" s="7"/>
      <c r="V340" s="7"/>
      <c r="W340" s="7"/>
      <c r="X340" s="7"/>
      <c r="Y340" s="7"/>
    </row>
    <row r="341" spans="3:25" x14ac:dyDescent="0.2">
      <c r="C341" s="7"/>
      <c r="D341" s="7"/>
      <c r="E341" s="7"/>
      <c r="F341" s="7"/>
      <c r="G341" s="7"/>
      <c r="H341" s="7"/>
      <c r="I341" s="7"/>
      <c r="J341" s="7"/>
      <c r="K341" s="7"/>
      <c r="L341" s="7"/>
      <c r="M341" s="7"/>
      <c r="N341" s="7"/>
      <c r="O341" s="7"/>
      <c r="P341" s="7"/>
      <c r="Q341" s="7"/>
      <c r="R341" s="7"/>
      <c r="S341" s="7"/>
      <c r="T341" s="7"/>
      <c r="U341" s="7"/>
      <c r="V341" s="7"/>
      <c r="W341" s="7"/>
      <c r="X341" s="7"/>
      <c r="Y341" s="7"/>
    </row>
    <row r="342" spans="3:25" x14ac:dyDescent="0.2">
      <c r="C342" s="7"/>
      <c r="D342" s="7"/>
      <c r="E342" s="7"/>
      <c r="F342" s="7"/>
      <c r="G342" s="7"/>
      <c r="H342" s="7"/>
      <c r="I342" s="7"/>
      <c r="J342" s="7"/>
      <c r="K342" s="7"/>
      <c r="L342" s="7"/>
      <c r="M342" s="7"/>
      <c r="N342" s="7"/>
      <c r="O342" s="7"/>
      <c r="P342" s="7"/>
      <c r="Q342" s="7"/>
      <c r="R342" s="7"/>
      <c r="S342" s="7"/>
      <c r="T342" s="7"/>
      <c r="U342" s="7"/>
      <c r="V342" s="7"/>
      <c r="W342" s="7"/>
      <c r="X342" s="7"/>
      <c r="Y342" s="7"/>
    </row>
    <row r="343" spans="3:25" x14ac:dyDescent="0.2">
      <c r="C343" s="7"/>
      <c r="D343" s="7"/>
      <c r="E343" s="7"/>
      <c r="F343" s="7"/>
      <c r="G343" s="7"/>
      <c r="H343" s="7"/>
      <c r="I343" s="7"/>
      <c r="J343" s="7"/>
      <c r="K343" s="7"/>
      <c r="L343" s="7"/>
      <c r="M343" s="7"/>
      <c r="N343" s="7"/>
      <c r="O343" s="7"/>
      <c r="P343" s="7"/>
      <c r="Q343" s="7"/>
      <c r="R343" s="7"/>
      <c r="S343" s="7"/>
      <c r="T343" s="7"/>
      <c r="U343" s="7"/>
      <c r="V343" s="7"/>
      <c r="W343" s="7"/>
      <c r="X343" s="7"/>
      <c r="Y343" s="7"/>
    </row>
    <row r="344" spans="3:25" x14ac:dyDescent="0.2">
      <c r="C344" s="7"/>
      <c r="D344" s="7"/>
      <c r="E344" s="7"/>
      <c r="F344" s="7"/>
      <c r="G344" s="7"/>
      <c r="H344" s="7"/>
      <c r="I344" s="7"/>
      <c r="J344" s="7"/>
      <c r="K344" s="7"/>
      <c r="L344" s="7"/>
      <c r="M344" s="7"/>
      <c r="N344" s="7"/>
      <c r="O344" s="7"/>
      <c r="P344" s="7"/>
      <c r="Q344" s="7"/>
      <c r="R344" s="7"/>
      <c r="S344" s="7"/>
      <c r="T344" s="7"/>
      <c r="U344" s="7"/>
      <c r="V344" s="7"/>
      <c r="W344" s="7"/>
      <c r="X344" s="7"/>
      <c r="Y344" s="7"/>
    </row>
    <row r="345" spans="3:25" x14ac:dyDescent="0.2">
      <c r="C345" s="7"/>
      <c r="D345" s="7"/>
      <c r="E345" s="7"/>
      <c r="F345" s="7"/>
      <c r="G345" s="7"/>
      <c r="H345" s="7"/>
      <c r="I345" s="7"/>
      <c r="J345" s="7"/>
      <c r="K345" s="7"/>
      <c r="L345" s="7"/>
      <c r="M345" s="7"/>
      <c r="N345" s="7"/>
      <c r="O345" s="7"/>
      <c r="P345" s="7"/>
      <c r="Q345" s="7"/>
      <c r="R345" s="7"/>
      <c r="S345" s="7"/>
      <c r="T345" s="7"/>
      <c r="U345" s="7"/>
      <c r="V345" s="7"/>
      <c r="W345" s="7"/>
      <c r="X345" s="7"/>
      <c r="Y345" s="7"/>
    </row>
    <row r="346" spans="3:25" x14ac:dyDescent="0.2">
      <c r="C346" s="7"/>
      <c r="D346" s="7"/>
      <c r="E346" s="7"/>
      <c r="F346" s="7"/>
      <c r="G346" s="7"/>
      <c r="H346" s="7"/>
      <c r="I346" s="7"/>
      <c r="J346" s="7"/>
      <c r="K346" s="7"/>
      <c r="L346" s="7"/>
      <c r="M346" s="7"/>
      <c r="N346" s="7"/>
      <c r="O346" s="7"/>
      <c r="P346" s="7"/>
      <c r="Q346" s="7"/>
      <c r="R346" s="7"/>
      <c r="S346" s="7"/>
      <c r="T346" s="7"/>
      <c r="U346" s="7"/>
      <c r="V346" s="7"/>
      <c r="W346" s="7"/>
      <c r="X346" s="7"/>
      <c r="Y346" s="7"/>
    </row>
    <row r="347" spans="3:25" x14ac:dyDescent="0.2">
      <c r="C347" s="7"/>
      <c r="D347" s="7"/>
      <c r="E347" s="7"/>
      <c r="F347" s="7"/>
      <c r="G347" s="7"/>
      <c r="H347" s="7"/>
      <c r="I347" s="7"/>
      <c r="J347" s="7"/>
      <c r="K347" s="7"/>
      <c r="L347" s="7"/>
      <c r="M347" s="7"/>
      <c r="N347" s="7"/>
      <c r="O347" s="7"/>
      <c r="P347" s="7"/>
      <c r="Q347" s="7"/>
      <c r="R347" s="7"/>
      <c r="S347" s="7"/>
      <c r="T347" s="7"/>
      <c r="U347" s="7"/>
      <c r="V347" s="7"/>
      <c r="W347" s="7"/>
      <c r="X347" s="7"/>
      <c r="Y347" s="7"/>
    </row>
    <row r="348" spans="3:25" x14ac:dyDescent="0.2">
      <c r="C348" s="7"/>
      <c r="D348" s="7"/>
      <c r="E348" s="7"/>
      <c r="F348" s="7"/>
      <c r="G348" s="7"/>
      <c r="H348" s="7"/>
      <c r="I348" s="7"/>
      <c r="J348" s="7"/>
      <c r="K348" s="7"/>
      <c r="L348" s="7"/>
      <c r="M348" s="7"/>
      <c r="N348" s="7"/>
      <c r="O348" s="7"/>
      <c r="P348" s="7"/>
      <c r="Q348" s="7"/>
      <c r="R348" s="7"/>
      <c r="S348" s="7"/>
      <c r="T348" s="7"/>
      <c r="U348" s="7"/>
      <c r="V348" s="7"/>
      <c r="W348" s="7"/>
      <c r="X348" s="7"/>
      <c r="Y348" s="7"/>
    </row>
    <row r="349" spans="3:25" x14ac:dyDescent="0.2">
      <c r="C349" s="7"/>
      <c r="D349" s="7"/>
      <c r="E349" s="7"/>
      <c r="F349" s="7"/>
      <c r="G349" s="7"/>
      <c r="H349" s="7"/>
      <c r="I349" s="7"/>
      <c r="J349" s="7"/>
      <c r="K349" s="7"/>
      <c r="L349" s="7"/>
      <c r="M349" s="7"/>
      <c r="N349" s="7"/>
      <c r="O349" s="7"/>
      <c r="P349" s="7"/>
      <c r="Q349" s="7"/>
      <c r="R349" s="7"/>
      <c r="S349" s="7"/>
      <c r="T349" s="7"/>
      <c r="U349" s="7"/>
      <c r="V349" s="7"/>
      <c r="W349" s="7"/>
      <c r="X349" s="7"/>
      <c r="Y349" s="7"/>
    </row>
    <row r="350" spans="3:25" x14ac:dyDescent="0.2">
      <c r="C350" s="7"/>
      <c r="D350" s="7"/>
      <c r="E350" s="7"/>
      <c r="F350" s="7"/>
      <c r="G350" s="7"/>
      <c r="H350" s="7"/>
      <c r="I350" s="7"/>
      <c r="J350" s="7"/>
      <c r="K350" s="7"/>
      <c r="L350" s="7"/>
      <c r="M350" s="7"/>
      <c r="N350" s="7"/>
      <c r="O350" s="7"/>
      <c r="P350" s="7"/>
      <c r="Q350" s="7"/>
      <c r="R350" s="7"/>
      <c r="S350" s="7"/>
      <c r="T350" s="7"/>
      <c r="U350" s="7"/>
      <c r="V350" s="7"/>
      <c r="W350" s="7"/>
      <c r="X350" s="7"/>
      <c r="Y350" s="7"/>
    </row>
    <row r="351" spans="3:25" x14ac:dyDescent="0.2">
      <c r="C351" s="7"/>
      <c r="D351" s="7"/>
      <c r="E351" s="7"/>
      <c r="F351" s="7"/>
      <c r="G351" s="7"/>
      <c r="H351" s="7"/>
      <c r="I351" s="7"/>
      <c r="J351" s="7"/>
      <c r="K351" s="7"/>
      <c r="L351" s="7"/>
      <c r="M351" s="7"/>
      <c r="N351" s="7"/>
      <c r="O351" s="7"/>
      <c r="P351" s="7"/>
      <c r="Q351" s="7"/>
      <c r="R351" s="7"/>
      <c r="S351" s="7"/>
      <c r="T351" s="7"/>
      <c r="U351" s="7"/>
      <c r="V351" s="7"/>
      <c r="W351" s="7"/>
      <c r="X351" s="7"/>
      <c r="Y351" s="7"/>
    </row>
    <row r="352" spans="3:25" x14ac:dyDescent="0.2">
      <c r="C352" s="7"/>
      <c r="D352" s="7"/>
      <c r="E352" s="7"/>
      <c r="F352" s="7"/>
      <c r="G352" s="7"/>
      <c r="H352" s="7"/>
      <c r="I352" s="7"/>
      <c r="J352" s="7"/>
      <c r="K352" s="7"/>
      <c r="L352" s="7"/>
      <c r="M352" s="7"/>
      <c r="N352" s="7"/>
      <c r="O352" s="7"/>
      <c r="P352" s="7"/>
      <c r="Q352" s="7"/>
      <c r="R352" s="7"/>
      <c r="S352" s="7"/>
      <c r="T352" s="7"/>
      <c r="U352" s="7"/>
      <c r="V352" s="7"/>
      <c r="W352" s="7"/>
      <c r="X352" s="7"/>
      <c r="Y352" s="7"/>
    </row>
    <row r="353" spans="3:25" x14ac:dyDescent="0.2">
      <c r="C353" s="7"/>
      <c r="D353" s="7"/>
      <c r="E353" s="7"/>
      <c r="F353" s="7"/>
      <c r="G353" s="7"/>
      <c r="H353" s="7"/>
      <c r="I353" s="7"/>
      <c r="J353" s="7"/>
      <c r="K353" s="7"/>
      <c r="L353" s="7"/>
      <c r="M353" s="7"/>
      <c r="N353" s="7"/>
      <c r="O353" s="7"/>
      <c r="P353" s="7"/>
      <c r="Q353" s="7"/>
      <c r="R353" s="7"/>
      <c r="S353" s="7"/>
      <c r="T353" s="7"/>
      <c r="U353" s="7"/>
      <c r="V353" s="7"/>
      <c r="W353" s="7"/>
      <c r="X353" s="7"/>
      <c r="Y353" s="7"/>
    </row>
    <row r="354" spans="3:25" x14ac:dyDescent="0.2">
      <c r="C354" s="7"/>
      <c r="D354" s="7"/>
      <c r="E354" s="7"/>
      <c r="F354" s="7"/>
      <c r="G354" s="7"/>
      <c r="H354" s="7"/>
      <c r="I354" s="7"/>
      <c r="J354" s="7"/>
      <c r="K354" s="7"/>
      <c r="L354" s="7"/>
      <c r="M354" s="7"/>
      <c r="N354" s="7"/>
      <c r="O354" s="7"/>
      <c r="P354" s="7"/>
      <c r="Q354" s="7"/>
      <c r="R354" s="7"/>
      <c r="S354" s="7"/>
      <c r="T354" s="7"/>
      <c r="U354" s="7"/>
      <c r="V354" s="7"/>
      <c r="W354" s="7"/>
      <c r="X354" s="7"/>
      <c r="Y354" s="7"/>
    </row>
    <row r="355" spans="3:25" x14ac:dyDescent="0.2">
      <c r="C355" s="7"/>
      <c r="D355" s="7"/>
      <c r="E355" s="7"/>
      <c r="F355" s="7"/>
      <c r="G355" s="7"/>
      <c r="H355" s="7"/>
      <c r="I355" s="7"/>
      <c r="J355" s="7"/>
      <c r="K355" s="7"/>
      <c r="L355" s="7"/>
      <c r="M355" s="7"/>
      <c r="N355" s="7"/>
      <c r="O355" s="7"/>
      <c r="P355" s="7"/>
      <c r="Q355" s="7"/>
      <c r="R355" s="7"/>
      <c r="S355" s="7"/>
      <c r="T355" s="7"/>
      <c r="U355" s="7"/>
      <c r="V355" s="7"/>
      <c r="W355" s="7"/>
      <c r="X355" s="7"/>
      <c r="Y355" s="7"/>
    </row>
    <row r="356" spans="3:25" x14ac:dyDescent="0.2">
      <c r="C356" s="7"/>
      <c r="D356" s="7"/>
      <c r="E356" s="7"/>
      <c r="F356" s="7"/>
      <c r="G356" s="7"/>
      <c r="H356" s="7"/>
      <c r="I356" s="7"/>
      <c r="J356" s="7"/>
      <c r="K356" s="7"/>
      <c r="L356" s="7"/>
      <c r="M356" s="7"/>
      <c r="N356" s="7"/>
      <c r="O356" s="7"/>
      <c r="P356" s="7"/>
      <c r="Q356" s="7"/>
      <c r="R356" s="7"/>
      <c r="S356" s="7"/>
      <c r="T356" s="7"/>
      <c r="U356" s="7"/>
      <c r="V356" s="7"/>
      <c r="W356" s="7"/>
      <c r="X356" s="7"/>
      <c r="Y356" s="7"/>
    </row>
    <row r="357" spans="3:25" x14ac:dyDescent="0.2">
      <c r="C357" s="7"/>
      <c r="D357" s="7"/>
      <c r="E357" s="7"/>
      <c r="F357" s="7"/>
      <c r="G357" s="7"/>
      <c r="H357" s="7"/>
      <c r="I357" s="7"/>
      <c r="J357" s="7"/>
      <c r="K357" s="7"/>
      <c r="L357" s="7"/>
      <c r="M357" s="7"/>
      <c r="N357" s="7"/>
      <c r="O357" s="7"/>
      <c r="P357" s="7"/>
      <c r="Q357" s="7"/>
      <c r="R357" s="7"/>
      <c r="S357" s="7"/>
      <c r="T357" s="7"/>
      <c r="U357" s="7"/>
      <c r="V357" s="7"/>
      <c r="W357" s="7"/>
      <c r="X357" s="7"/>
      <c r="Y357" s="7"/>
    </row>
    <row r="358" spans="3:25" x14ac:dyDescent="0.2">
      <c r="C358" s="7"/>
      <c r="D358" s="7"/>
      <c r="E358" s="7"/>
      <c r="F358" s="7"/>
      <c r="G358" s="7"/>
      <c r="H358" s="7"/>
      <c r="I358" s="7"/>
      <c r="J358" s="7"/>
      <c r="K358" s="7"/>
      <c r="L358" s="7"/>
      <c r="M358" s="7"/>
      <c r="N358" s="7"/>
      <c r="O358" s="7"/>
      <c r="P358" s="7"/>
      <c r="Q358" s="7"/>
      <c r="R358" s="7"/>
      <c r="S358" s="7"/>
      <c r="T358" s="7"/>
      <c r="U358" s="7"/>
      <c r="V358" s="7"/>
      <c r="W358" s="7"/>
      <c r="X358" s="7"/>
      <c r="Y358" s="7"/>
    </row>
    <row r="359" spans="3:25" x14ac:dyDescent="0.2">
      <c r="C359" s="7"/>
      <c r="D359" s="7"/>
      <c r="E359" s="7"/>
      <c r="F359" s="7"/>
      <c r="G359" s="7"/>
      <c r="H359" s="7"/>
      <c r="I359" s="7"/>
      <c r="J359" s="7"/>
      <c r="K359" s="7"/>
      <c r="L359" s="7"/>
      <c r="M359" s="7"/>
      <c r="N359" s="7"/>
      <c r="O359" s="7"/>
      <c r="P359" s="7"/>
      <c r="Q359" s="7"/>
      <c r="R359" s="7"/>
      <c r="S359" s="7"/>
      <c r="T359" s="7"/>
      <c r="U359" s="7"/>
      <c r="V359" s="7"/>
      <c r="W359" s="7"/>
      <c r="X359" s="7"/>
      <c r="Y359" s="7"/>
    </row>
    <row r="360" spans="3:25" x14ac:dyDescent="0.2">
      <c r="C360" s="7"/>
      <c r="D360" s="7"/>
      <c r="E360" s="7"/>
      <c r="F360" s="7"/>
      <c r="G360" s="7"/>
      <c r="H360" s="7"/>
      <c r="I360" s="7"/>
      <c r="J360" s="7"/>
      <c r="K360" s="7"/>
      <c r="L360" s="7"/>
      <c r="M360" s="7"/>
      <c r="N360" s="7"/>
      <c r="O360" s="7"/>
      <c r="P360" s="7"/>
      <c r="Q360" s="7"/>
      <c r="R360" s="7"/>
      <c r="S360" s="7"/>
      <c r="T360" s="7"/>
      <c r="U360" s="7"/>
      <c r="V360" s="7"/>
      <c r="W360" s="7"/>
      <c r="X360" s="7"/>
      <c r="Y360" s="7"/>
    </row>
    <row r="361" spans="3:25" x14ac:dyDescent="0.2">
      <c r="C361" s="7"/>
      <c r="D361" s="7"/>
      <c r="E361" s="7"/>
      <c r="F361" s="7"/>
      <c r="G361" s="7"/>
      <c r="H361" s="7"/>
      <c r="I361" s="7"/>
      <c r="J361" s="7"/>
      <c r="K361" s="7"/>
      <c r="L361" s="7"/>
      <c r="M361" s="7"/>
      <c r="N361" s="7"/>
      <c r="O361" s="7"/>
      <c r="P361" s="7"/>
      <c r="Q361" s="7"/>
      <c r="R361" s="7"/>
      <c r="S361" s="7"/>
      <c r="T361" s="7"/>
      <c r="U361" s="7"/>
      <c r="V361" s="7"/>
      <c r="W361" s="7"/>
      <c r="X361" s="7"/>
      <c r="Y361" s="7"/>
    </row>
    <row r="362" spans="3:25" x14ac:dyDescent="0.2">
      <c r="C362" s="7"/>
      <c r="D362" s="7"/>
      <c r="E362" s="7"/>
      <c r="F362" s="7"/>
      <c r="G362" s="7"/>
      <c r="H362" s="7"/>
      <c r="I362" s="7"/>
      <c r="J362" s="7"/>
      <c r="K362" s="7"/>
      <c r="L362" s="7"/>
      <c r="M362" s="7"/>
      <c r="N362" s="7"/>
      <c r="O362" s="7"/>
      <c r="P362" s="7"/>
      <c r="Q362" s="7"/>
      <c r="R362" s="7"/>
      <c r="S362" s="7"/>
      <c r="T362" s="7"/>
      <c r="U362" s="7"/>
      <c r="V362" s="7"/>
      <c r="W362" s="7"/>
      <c r="X362" s="7"/>
      <c r="Y362" s="7"/>
    </row>
    <row r="363" spans="3:25" x14ac:dyDescent="0.2">
      <c r="C363" s="7"/>
      <c r="D363" s="7"/>
      <c r="E363" s="7"/>
      <c r="F363" s="7"/>
      <c r="G363" s="7"/>
      <c r="H363" s="7"/>
      <c r="I363" s="7"/>
      <c r="J363" s="7"/>
      <c r="K363" s="7"/>
      <c r="L363" s="7"/>
      <c r="M363" s="7"/>
      <c r="N363" s="7"/>
      <c r="O363" s="7"/>
      <c r="P363" s="7"/>
      <c r="Q363" s="7"/>
      <c r="R363" s="7"/>
      <c r="S363" s="7"/>
      <c r="T363" s="7"/>
      <c r="U363" s="7"/>
      <c r="V363" s="7"/>
      <c r="W363" s="7"/>
      <c r="X363" s="7"/>
      <c r="Y363" s="7"/>
    </row>
    <row r="364" spans="3:25" x14ac:dyDescent="0.2">
      <c r="C364" s="7"/>
      <c r="D364" s="7"/>
      <c r="E364" s="7"/>
      <c r="F364" s="7"/>
      <c r="G364" s="7"/>
      <c r="H364" s="7"/>
      <c r="I364" s="7"/>
      <c r="J364" s="7"/>
      <c r="K364" s="7"/>
      <c r="L364" s="7"/>
      <c r="M364" s="7"/>
      <c r="N364" s="7"/>
      <c r="O364" s="7"/>
      <c r="P364" s="7"/>
      <c r="Q364" s="7"/>
      <c r="R364" s="7"/>
      <c r="S364" s="7"/>
      <c r="T364" s="7"/>
      <c r="U364" s="7"/>
      <c r="V364" s="7"/>
      <c r="W364" s="7"/>
      <c r="X364" s="7"/>
      <c r="Y364" s="7"/>
    </row>
    <row r="365" spans="3:25" x14ac:dyDescent="0.2">
      <c r="C365" s="7"/>
      <c r="D365" s="7"/>
      <c r="E365" s="7"/>
      <c r="F365" s="7"/>
      <c r="G365" s="7"/>
      <c r="H365" s="7"/>
      <c r="I365" s="7"/>
      <c r="J365" s="7"/>
      <c r="K365" s="7"/>
      <c r="L365" s="7"/>
      <c r="M365" s="7"/>
      <c r="N365" s="7"/>
      <c r="O365" s="7"/>
      <c r="P365" s="7"/>
      <c r="Q365" s="7"/>
      <c r="R365" s="7"/>
      <c r="S365" s="7"/>
      <c r="T365" s="7"/>
      <c r="U365" s="7"/>
      <c r="V365" s="7"/>
      <c r="W365" s="7"/>
      <c r="X365" s="7"/>
      <c r="Y365" s="7"/>
    </row>
    <row r="366" spans="3:25" x14ac:dyDescent="0.2">
      <c r="C366" s="7"/>
      <c r="D366" s="7"/>
      <c r="E366" s="7"/>
      <c r="F366" s="7"/>
      <c r="G366" s="7"/>
      <c r="H366" s="7"/>
      <c r="I366" s="7"/>
      <c r="J366" s="7"/>
      <c r="K366" s="7"/>
      <c r="L366" s="7"/>
      <c r="M366" s="7"/>
      <c r="N366" s="7"/>
      <c r="O366" s="7"/>
      <c r="P366" s="7"/>
      <c r="Q366" s="7"/>
      <c r="R366" s="7"/>
      <c r="S366" s="7"/>
      <c r="T366" s="7"/>
      <c r="U366" s="7"/>
      <c r="V366" s="7"/>
      <c r="W366" s="7"/>
      <c r="X366" s="7"/>
      <c r="Y366" s="7"/>
    </row>
    <row r="367" spans="3:25" x14ac:dyDescent="0.2">
      <c r="C367" s="7"/>
      <c r="D367" s="7"/>
      <c r="E367" s="7"/>
      <c r="F367" s="7"/>
      <c r="G367" s="7"/>
      <c r="H367" s="7"/>
      <c r="I367" s="7"/>
      <c r="J367" s="7"/>
      <c r="K367" s="7"/>
      <c r="L367" s="7"/>
      <c r="M367" s="7"/>
      <c r="N367" s="7"/>
      <c r="O367" s="7"/>
      <c r="P367" s="7"/>
      <c r="Q367" s="7"/>
      <c r="R367" s="7"/>
      <c r="S367" s="7"/>
      <c r="T367" s="7"/>
      <c r="U367" s="7"/>
      <c r="V367" s="7"/>
      <c r="W367" s="7"/>
      <c r="X367" s="7"/>
      <c r="Y367" s="7"/>
    </row>
    <row r="368" spans="3:25" x14ac:dyDescent="0.2">
      <c r="C368" s="7"/>
      <c r="D368" s="7"/>
      <c r="E368" s="7"/>
      <c r="F368" s="7"/>
      <c r="G368" s="7"/>
      <c r="H368" s="7"/>
      <c r="I368" s="7"/>
      <c r="J368" s="7"/>
      <c r="K368" s="7"/>
      <c r="L368" s="7"/>
      <c r="M368" s="7"/>
      <c r="N368" s="7"/>
      <c r="O368" s="7"/>
      <c r="P368" s="7"/>
      <c r="Q368" s="7"/>
      <c r="R368" s="7"/>
      <c r="S368" s="7"/>
      <c r="T368" s="7"/>
      <c r="U368" s="7"/>
      <c r="V368" s="7"/>
      <c r="W368" s="7"/>
      <c r="X368" s="7"/>
      <c r="Y368" s="7"/>
    </row>
    <row r="369" spans="3:25" x14ac:dyDescent="0.2">
      <c r="C369" s="7"/>
      <c r="D369" s="7"/>
      <c r="E369" s="7"/>
      <c r="F369" s="7"/>
      <c r="G369" s="7"/>
      <c r="H369" s="7"/>
      <c r="I369" s="7"/>
      <c r="J369" s="7"/>
      <c r="K369" s="7"/>
      <c r="L369" s="7"/>
      <c r="M369" s="7"/>
      <c r="N369" s="7"/>
      <c r="O369" s="7"/>
      <c r="P369" s="7"/>
      <c r="Q369" s="7"/>
      <c r="R369" s="7"/>
      <c r="S369" s="7"/>
      <c r="T369" s="7"/>
      <c r="U369" s="7"/>
      <c r="V369" s="7"/>
      <c r="W369" s="7"/>
      <c r="X369" s="7"/>
      <c r="Y369" s="7"/>
    </row>
    <row r="370" spans="3:25" x14ac:dyDescent="0.2">
      <c r="C370" s="7"/>
      <c r="D370" s="7"/>
      <c r="E370" s="7"/>
      <c r="F370" s="7"/>
      <c r="G370" s="7"/>
      <c r="H370" s="7"/>
      <c r="I370" s="7"/>
      <c r="J370" s="7"/>
      <c r="K370" s="7"/>
      <c r="L370" s="7"/>
      <c r="M370" s="7"/>
      <c r="N370" s="7"/>
      <c r="O370" s="7"/>
      <c r="P370" s="7"/>
      <c r="Q370" s="7"/>
      <c r="R370" s="7"/>
      <c r="S370" s="7"/>
      <c r="T370" s="7"/>
      <c r="U370" s="7"/>
      <c r="V370" s="7"/>
      <c r="W370" s="7"/>
      <c r="X370" s="7"/>
      <c r="Y370" s="7"/>
    </row>
    <row r="371" spans="3:25" x14ac:dyDescent="0.2">
      <c r="C371" s="7"/>
      <c r="D371" s="7"/>
      <c r="E371" s="7"/>
      <c r="F371" s="7"/>
      <c r="G371" s="7"/>
      <c r="H371" s="7"/>
      <c r="I371" s="7"/>
      <c r="J371" s="7"/>
      <c r="K371" s="7"/>
      <c r="L371" s="7"/>
      <c r="M371" s="7"/>
      <c r="N371" s="7"/>
      <c r="O371" s="7"/>
      <c r="P371" s="7"/>
      <c r="Q371" s="7"/>
      <c r="R371" s="7"/>
      <c r="S371" s="7"/>
      <c r="T371" s="7"/>
      <c r="U371" s="7"/>
      <c r="V371" s="7"/>
      <c r="W371" s="7"/>
      <c r="X371" s="7"/>
      <c r="Y371" s="7"/>
    </row>
    <row r="372" spans="3:25" x14ac:dyDescent="0.2">
      <c r="C372" s="7"/>
      <c r="D372" s="7"/>
      <c r="E372" s="7"/>
      <c r="F372" s="7"/>
      <c r="G372" s="7"/>
      <c r="H372" s="7"/>
      <c r="I372" s="7"/>
      <c r="J372" s="7"/>
      <c r="K372" s="7"/>
      <c r="L372" s="7"/>
      <c r="M372" s="7"/>
      <c r="N372" s="7"/>
      <c r="O372" s="7"/>
      <c r="P372" s="7"/>
      <c r="Q372" s="7"/>
      <c r="R372" s="7"/>
      <c r="S372" s="7"/>
      <c r="T372" s="7"/>
      <c r="U372" s="7"/>
      <c r="V372" s="7"/>
      <c r="W372" s="7"/>
      <c r="X372" s="7"/>
      <c r="Y372" s="7"/>
    </row>
    <row r="373" spans="3:25" x14ac:dyDescent="0.2">
      <c r="C373" s="7"/>
      <c r="D373" s="7"/>
      <c r="E373" s="7"/>
      <c r="F373" s="7"/>
      <c r="G373" s="7"/>
      <c r="H373" s="7"/>
      <c r="I373" s="7"/>
      <c r="J373" s="7"/>
      <c r="K373" s="7"/>
      <c r="L373" s="7"/>
      <c r="M373" s="7"/>
      <c r="N373" s="7"/>
      <c r="O373" s="7"/>
      <c r="P373" s="7"/>
      <c r="Q373" s="7"/>
      <c r="R373" s="7"/>
      <c r="S373" s="7"/>
      <c r="T373" s="7"/>
      <c r="U373" s="7"/>
      <c r="V373" s="7"/>
      <c r="W373" s="7"/>
      <c r="X373" s="7"/>
      <c r="Y373" s="7"/>
    </row>
    <row r="374" spans="3:25" x14ac:dyDescent="0.2">
      <c r="C374" s="7"/>
      <c r="D374" s="7"/>
      <c r="E374" s="7"/>
      <c r="F374" s="7"/>
      <c r="G374" s="7"/>
      <c r="H374" s="7"/>
      <c r="I374" s="7"/>
      <c r="J374" s="7"/>
      <c r="K374" s="7"/>
      <c r="L374" s="7"/>
      <c r="M374" s="7"/>
      <c r="N374" s="7"/>
      <c r="O374" s="7"/>
      <c r="P374" s="7"/>
      <c r="Q374" s="7"/>
      <c r="R374" s="7"/>
      <c r="S374" s="7"/>
      <c r="T374" s="7"/>
      <c r="U374" s="7"/>
      <c r="V374" s="7"/>
      <c r="W374" s="7"/>
      <c r="X374" s="7"/>
      <c r="Y374" s="7"/>
    </row>
    <row r="375" spans="3:25" x14ac:dyDescent="0.2">
      <c r="C375" s="7"/>
      <c r="D375" s="7"/>
      <c r="E375" s="7"/>
      <c r="F375" s="7"/>
      <c r="G375" s="7"/>
      <c r="H375" s="7"/>
      <c r="I375" s="7"/>
      <c r="J375" s="7"/>
      <c r="K375" s="7"/>
      <c r="L375" s="7"/>
      <c r="M375" s="7"/>
      <c r="N375" s="7"/>
      <c r="O375" s="7"/>
      <c r="P375" s="7"/>
      <c r="Q375" s="7"/>
      <c r="R375" s="7"/>
      <c r="S375" s="7"/>
      <c r="T375" s="7"/>
      <c r="U375" s="7"/>
      <c r="V375" s="7"/>
      <c r="W375" s="7"/>
      <c r="X375" s="7"/>
      <c r="Y375" s="7"/>
    </row>
    <row r="376" spans="3:25" x14ac:dyDescent="0.2">
      <c r="C376" s="7"/>
      <c r="D376" s="7"/>
      <c r="E376" s="7"/>
      <c r="F376" s="7"/>
      <c r="G376" s="7"/>
      <c r="H376" s="7"/>
      <c r="I376" s="7"/>
      <c r="J376" s="7"/>
      <c r="K376" s="7"/>
      <c r="L376" s="7"/>
      <c r="M376" s="7"/>
      <c r="N376" s="7"/>
      <c r="O376" s="7"/>
      <c r="P376" s="7"/>
      <c r="Q376" s="7"/>
      <c r="R376" s="7"/>
      <c r="S376" s="7"/>
      <c r="T376" s="7"/>
      <c r="U376" s="7"/>
      <c r="V376" s="7"/>
      <c r="W376" s="7"/>
      <c r="X376" s="7"/>
      <c r="Y376" s="7"/>
    </row>
    <row r="377" spans="3:25" x14ac:dyDescent="0.2">
      <c r="C377" s="7"/>
      <c r="D377" s="7"/>
      <c r="E377" s="7"/>
      <c r="F377" s="7"/>
      <c r="G377" s="7"/>
      <c r="H377" s="7"/>
      <c r="I377" s="7"/>
      <c r="J377" s="7"/>
      <c r="K377" s="7"/>
      <c r="L377" s="7"/>
      <c r="M377" s="7"/>
      <c r="N377" s="7"/>
      <c r="O377" s="7"/>
      <c r="P377" s="7"/>
      <c r="Q377" s="7"/>
      <c r="R377" s="7"/>
      <c r="S377" s="7"/>
      <c r="T377" s="7"/>
      <c r="U377" s="7"/>
      <c r="V377" s="7"/>
      <c r="W377" s="7"/>
      <c r="X377" s="7"/>
      <c r="Y377" s="7"/>
    </row>
    <row r="378" spans="3:25" x14ac:dyDescent="0.2">
      <c r="C378" s="7"/>
      <c r="D378" s="7"/>
      <c r="E378" s="7"/>
      <c r="F378" s="7"/>
      <c r="G378" s="7"/>
      <c r="H378" s="7"/>
      <c r="I378" s="7"/>
      <c r="J378" s="7"/>
      <c r="K378" s="7"/>
      <c r="L378" s="7"/>
      <c r="M378" s="7"/>
      <c r="N378" s="7"/>
      <c r="O378" s="7"/>
      <c r="P378" s="7"/>
      <c r="Q378" s="7"/>
      <c r="R378" s="7"/>
      <c r="S378" s="7"/>
      <c r="T378" s="7"/>
      <c r="U378" s="7"/>
      <c r="V378" s="7"/>
      <c r="W378" s="7"/>
      <c r="X378" s="7"/>
      <c r="Y378" s="7"/>
    </row>
    <row r="379" spans="3:25" x14ac:dyDescent="0.2">
      <c r="C379" s="7"/>
      <c r="D379" s="7"/>
      <c r="E379" s="7"/>
      <c r="F379" s="7"/>
      <c r="G379" s="7"/>
      <c r="H379" s="7"/>
      <c r="I379" s="7"/>
      <c r="J379" s="7"/>
      <c r="K379" s="7"/>
      <c r="L379" s="7"/>
      <c r="M379" s="7"/>
      <c r="N379" s="7"/>
      <c r="O379" s="7"/>
      <c r="P379" s="7"/>
      <c r="Q379" s="7"/>
      <c r="R379" s="7"/>
      <c r="S379" s="7"/>
      <c r="T379" s="7"/>
      <c r="U379" s="7"/>
      <c r="V379" s="7"/>
      <c r="W379" s="7"/>
      <c r="X379" s="7"/>
      <c r="Y379" s="7"/>
    </row>
    <row r="380" spans="3:25" x14ac:dyDescent="0.2">
      <c r="C380" s="7"/>
      <c r="D380" s="7"/>
      <c r="E380" s="7"/>
      <c r="F380" s="7"/>
      <c r="G380" s="7"/>
      <c r="H380" s="7"/>
      <c r="I380" s="7"/>
      <c r="J380" s="7"/>
      <c r="K380" s="7"/>
      <c r="L380" s="7"/>
      <c r="M380" s="7"/>
      <c r="N380" s="7"/>
      <c r="O380" s="7"/>
      <c r="P380" s="7"/>
      <c r="Q380" s="7"/>
      <c r="R380" s="7"/>
      <c r="S380" s="7"/>
      <c r="T380" s="7"/>
      <c r="U380" s="7"/>
      <c r="V380" s="7"/>
      <c r="W380" s="7"/>
      <c r="X380" s="7"/>
      <c r="Y380" s="7"/>
    </row>
    <row r="381" spans="3:25" x14ac:dyDescent="0.2">
      <c r="C381" s="7"/>
      <c r="D381" s="7"/>
      <c r="E381" s="7"/>
      <c r="F381" s="7"/>
      <c r="G381" s="7"/>
      <c r="H381" s="7"/>
      <c r="I381" s="7"/>
      <c r="J381" s="7"/>
      <c r="K381" s="7"/>
      <c r="L381" s="7"/>
      <c r="M381" s="7"/>
      <c r="N381" s="7"/>
      <c r="O381" s="7"/>
      <c r="P381" s="7"/>
      <c r="Q381" s="7"/>
      <c r="R381" s="7"/>
      <c r="S381" s="7"/>
      <c r="T381" s="7"/>
      <c r="U381" s="7"/>
      <c r="V381" s="7"/>
      <c r="W381" s="7"/>
      <c r="X381" s="7"/>
      <c r="Y381" s="7"/>
    </row>
    <row r="382" spans="3:25" x14ac:dyDescent="0.2">
      <c r="C382" s="7"/>
      <c r="D382" s="7"/>
      <c r="E382" s="7"/>
      <c r="F382" s="7"/>
      <c r="G382" s="7"/>
      <c r="H382" s="7"/>
      <c r="I382" s="7"/>
      <c r="J382" s="7"/>
      <c r="K382" s="7"/>
      <c r="L382" s="7"/>
      <c r="M382" s="7"/>
      <c r="N382" s="7"/>
      <c r="O382" s="7"/>
      <c r="P382" s="7"/>
      <c r="Q382" s="7"/>
      <c r="R382" s="7"/>
      <c r="S382" s="7"/>
      <c r="T382" s="7"/>
      <c r="U382" s="7"/>
      <c r="V382" s="7"/>
      <c r="W382" s="7"/>
      <c r="X382" s="7"/>
      <c r="Y382" s="7"/>
    </row>
    <row r="383" spans="3:25" x14ac:dyDescent="0.2">
      <c r="C383" s="7"/>
      <c r="D383" s="7"/>
      <c r="E383" s="7"/>
      <c r="F383" s="7"/>
      <c r="G383" s="7"/>
      <c r="H383" s="7"/>
      <c r="I383" s="7"/>
      <c r="J383" s="7"/>
      <c r="K383" s="7"/>
      <c r="L383" s="7"/>
      <c r="M383" s="7"/>
      <c r="N383" s="7"/>
      <c r="O383" s="7"/>
      <c r="P383" s="7"/>
      <c r="Q383" s="7"/>
      <c r="R383" s="7"/>
      <c r="S383" s="7"/>
      <c r="T383" s="7"/>
      <c r="U383" s="7"/>
      <c r="V383" s="7"/>
      <c r="W383" s="7"/>
      <c r="X383" s="7"/>
      <c r="Y383" s="7"/>
    </row>
    <row r="384" spans="3:25" x14ac:dyDescent="0.2">
      <c r="C384" s="7"/>
      <c r="D384" s="7"/>
      <c r="E384" s="7"/>
      <c r="F384" s="7"/>
      <c r="G384" s="7"/>
      <c r="H384" s="7"/>
      <c r="I384" s="7"/>
      <c r="J384" s="7"/>
      <c r="K384" s="7"/>
      <c r="L384" s="7"/>
      <c r="M384" s="7"/>
      <c r="N384" s="7"/>
      <c r="O384" s="7"/>
      <c r="P384" s="7"/>
      <c r="Q384" s="7"/>
      <c r="R384" s="7"/>
      <c r="S384" s="7"/>
      <c r="T384" s="7"/>
      <c r="U384" s="7"/>
      <c r="V384" s="7"/>
      <c r="W384" s="7"/>
      <c r="X384" s="7"/>
      <c r="Y384" s="7"/>
    </row>
    <row r="385" spans="3:25" x14ac:dyDescent="0.2">
      <c r="C385" s="7"/>
      <c r="D385" s="7"/>
      <c r="E385" s="7"/>
      <c r="F385" s="7"/>
      <c r="G385" s="7"/>
      <c r="H385" s="7"/>
      <c r="I385" s="7"/>
      <c r="J385" s="7"/>
      <c r="K385" s="7"/>
      <c r="L385" s="7"/>
      <c r="M385" s="7"/>
      <c r="N385" s="7"/>
      <c r="O385" s="7"/>
      <c r="P385" s="7"/>
      <c r="Q385" s="7"/>
      <c r="R385" s="7"/>
      <c r="S385" s="7"/>
      <c r="T385" s="7"/>
      <c r="U385" s="7"/>
      <c r="V385" s="7"/>
      <c r="W385" s="7"/>
      <c r="X385" s="7"/>
      <c r="Y385" s="7"/>
    </row>
    <row r="386" spans="3:25" x14ac:dyDescent="0.2">
      <c r="C386" s="7"/>
      <c r="D386" s="7"/>
      <c r="E386" s="7"/>
      <c r="F386" s="7"/>
      <c r="G386" s="7"/>
      <c r="H386" s="7"/>
      <c r="I386" s="7"/>
      <c r="J386" s="7"/>
      <c r="K386" s="7"/>
      <c r="L386" s="7"/>
      <c r="M386" s="7"/>
      <c r="N386" s="7"/>
      <c r="O386" s="7"/>
      <c r="P386" s="7"/>
      <c r="Q386" s="7"/>
      <c r="R386" s="7"/>
      <c r="S386" s="7"/>
      <c r="T386" s="7"/>
      <c r="U386" s="7"/>
      <c r="V386" s="7"/>
      <c r="W386" s="7"/>
      <c r="X386" s="7"/>
      <c r="Y386" s="7"/>
    </row>
    <row r="387" spans="3:25" x14ac:dyDescent="0.2">
      <c r="C387" s="7"/>
      <c r="D387" s="7"/>
      <c r="E387" s="7"/>
      <c r="F387" s="7"/>
      <c r="G387" s="7"/>
      <c r="H387" s="7"/>
      <c r="I387" s="7"/>
      <c r="J387" s="7"/>
      <c r="K387" s="7"/>
      <c r="L387" s="7"/>
      <c r="M387" s="7"/>
      <c r="N387" s="7"/>
      <c r="O387" s="7"/>
      <c r="P387" s="7"/>
      <c r="Q387" s="7"/>
      <c r="R387" s="7"/>
      <c r="S387" s="7"/>
      <c r="T387" s="7"/>
      <c r="U387" s="7"/>
      <c r="V387" s="7"/>
      <c r="W387" s="7"/>
      <c r="X387" s="7"/>
      <c r="Y387" s="7"/>
    </row>
    <row r="388" spans="3:25" x14ac:dyDescent="0.2">
      <c r="C388" s="7"/>
      <c r="D388" s="7"/>
      <c r="E388" s="7"/>
      <c r="F388" s="7"/>
      <c r="G388" s="7"/>
      <c r="H388" s="7"/>
      <c r="I388" s="7"/>
      <c r="J388" s="7"/>
      <c r="K388" s="7"/>
      <c r="L388" s="7"/>
      <c r="M388" s="7"/>
      <c r="N388" s="7"/>
      <c r="O388" s="7"/>
      <c r="P388" s="7"/>
      <c r="Q388" s="7"/>
      <c r="R388" s="7"/>
      <c r="S388" s="7"/>
      <c r="T388" s="7"/>
      <c r="U388" s="7"/>
      <c r="V388" s="7"/>
      <c r="W388" s="7"/>
      <c r="X388" s="7"/>
      <c r="Y388" s="7"/>
    </row>
    <row r="389" spans="3:25" x14ac:dyDescent="0.2">
      <c r="C389" s="7"/>
      <c r="D389" s="7"/>
      <c r="E389" s="7"/>
      <c r="F389" s="7"/>
      <c r="G389" s="7"/>
      <c r="H389" s="7"/>
      <c r="I389" s="7"/>
      <c r="J389" s="7"/>
      <c r="K389" s="7"/>
      <c r="L389" s="7"/>
      <c r="M389" s="7"/>
      <c r="N389" s="7"/>
      <c r="O389" s="7"/>
      <c r="P389" s="7"/>
      <c r="Q389" s="7"/>
      <c r="R389" s="7"/>
      <c r="S389" s="7"/>
      <c r="T389" s="7"/>
      <c r="U389" s="7"/>
      <c r="V389" s="7"/>
      <c r="W389" s="7"/>
      <c r="X389" s="7"/>
      <c r="Y389" s="7"/>
    </row>
    <row r="390" spans="3:25" x14ac:dyDescent="0.2">
      <c r="C390" s="7"/>
      <c r="D390" s="7"/>
      <c r="E390" s="7"/>
      <c r="F390" s="7"/>
      <c r="G390" s="7"/>
      <c r="H390" s="7"/>
      <c r="I390" s="7"/>
      <c r="J390" s="7"/>
      <c r="K390" s="7"/>
      <c r="L390" s="7"/>
      <c r="M390" s="7"/>
      <c r="N390" s="7"/>
      <c r="O390" s="7"/>
      <c r="P390" s="7"/>
      <c r="Q390" s="7"/>
      <c r="R390" s="7"/>
      <c r="S390" s="7"/>
      <c r="T390" s="7"/>
      <c r="U390" s="7"/>
      <c r="V390" s="7"/>
      <c r="W390" s="7"/>
      <c r="X390" s="7"/>
      <c r="Y390" s="7"/>
    </row>
    <row r="391" spans="3:25" x14ac:dyDescent="0.2">
      <c r="C391" s="7"/>
      <c r="D391" s="7"/>
      <c r="E391" s="7"/>
      <c r="F391" s="7"/>
      <c r="G391" s="7"/>
      <c r="H391" s="7"/>
      <c r="I391" s="7"/>
      <c r="J391" s="7"/>
      <c r="K391" s="7"/>
      <c r="L391" s="7"/>
      <c r="M391" s="7"/>
      <c r="N391" s="7"/>
      <c r="O391" s="7"/>
      <c r="P391" s="7"/>
      <c r="Q391" s="7"/>
      <c r="R391" s="7"/>
      <c r="S391" s="7"/>
      <c r="T391" s="7"/>
      <c r="U391" s="7"/>
      <c r="V391" s="7"/>
      <c r="W391" s="7"/>
      <c r="X391" s="7"/>
      <c r="Y391" s="7"/>
    </row>
    <row r="392" spans="3:25" x14ac:dyDescent="0.2">
      <c r="C392" s="7"/>
      <c r="D392" s="7"/>
      <c r="E392" s="7"/>
      <c r="F392" s="7"/>
      <c r="G392" s="7"/>
      <c r="H392" s="7"/>
      <c r="I392" s="7"/>
      <c r="J392" s="7"/>
      <c r="K392" s="7"/>
      <c r="L392" s="7"/>
      <c r="M392" s="7"/>
      <c r="N392" s="7"/>
      <c r="O392" s="7"/>
      <c r="P392" s="7"/>
      <c r="Q392" s="7"/>
      <c r="R392" s="7"/>
      <c r="S392" s="7"/>
      <c r="T392" s="7"/>
      <c r="U392" s="7"/>
      <c r="V392" s="7"/>
      <c r="W392" s="7"/>
      <c r="X392" s="7"/>
      <c r="Y392" s="7"/>
    </row>
    <row r="393" spans="3:25" x14ac:dyDescent="0.2">
      <c r="C393" s="7"/>
      <c r="D393" s="7"/>
      <c r="E393" s="7"/>
      <c r="F393" s="7"/>
      <c r="G393" s="7"/>
      <c r="H393" s="7"/>
      <c r="I393" s="7"/>
      <c r="J393" s="7"/>
      <c r="K393" s="7"/>
      <c r="L393" s="7"/>
      <c r="M393" s="7"/>
      <c r="N393" s="7"/>
      <c r="O393" s="7"/>
      <c r="P393" s="7"/>
      <c r="Q393" s="7"/>
      <c r="R393" s="7"/>
      <c r="S393" s="7"/>
      <c r="T393" s="7"/>
      <c r="U393" s="7"/>
      <c r="V393" s="7"/>
      <c r="W393" s="7"/>
      <c r="X393" s="7"/>
      <c r="Y393" s="7"/>
    </row>
    <row r="394" spans="3:25" x14ac:dyDescent="0.2">
      <c r="C394" s="7"/>
      <c r="D394" s="7"/>
      <c r="E394" s="7"/>
      <c r="F394" s="7"/>
      <c r="G394" s="7"/>
      <c r="H394" s="7"/>
      <c r="I394" s="7"/>
      <c r="J394" s="7"/>
      <c r="K394" s="7"/>
      <c r="L394" s="7"/>
      <c r="M394" s="7"/>
      <c r="N394" s="7"/>
      <c r="O394" s="7"/>
      <c r="P394" s="7"/>
      <c r="Q394" s="7"/>
      <c r="R394" s="7"/>
      <c r="S394" s="7"/>
      <c r="T394" s="7"/>
      <c r="U394" s="7"/>
      <c r="V394" s="7"/>
      <c r="W394" s="7"/>
      <c r="X394" s="7"/>
      <c r="Y394" s="7"/>
    </row>
    <row r="395" spans="3:25" x14ac:dyDescent="0.2">
      <c r="C395" s="7"/>
      <c r="D395" s="7"/>
      <c r="E395" s="7"/>
      <c r="F395" s="7"/>
      <c r="G395" s="7"/>
      <c r="H395" s="7"/>
      <c r="I395" s="7"/>
      <c r="J395" s="7"/>
      <c r="K395" s="7"/>
      <c r="L395" s="7"/>
      <c r="M395" s="7"/>
      <c r="N395" s="7"/>
      <c r="O395" s="7"/>
      <c r="P395" s="7"/>
      <c r="Q395" s="7"/>
      <c r="R395" s="7"/>
      <c r="S395" s="7"/>
      <c r="T395" s="7"/>
      <c r="U395" s="7"/>
      <c r="V395" s="7"/>
      <c r="W395" s="7"/>
      <c r="X395" s="7"/>
      <c r="Y395" s="7"/>
    </row>
    <row r="396" spans="3:25" x14ac:dyDescent="0.2">
      <c r="C396" s="7"/>
      <c r="D396" s="7"/>
      <c r="E396" s="7"/>
      <c r="F396" s="7"/>
      <c r="G396" s="7"/>
      <c r="H396" s="7"/>
      <c r="I396" s="7"/>
      <c r="J396" s="7"/>
      <c r="K396" s="7"/>
      <c r="L396" s="7"/>
      <c r="M396" s="7"/>
      <c r="N396" s="7"/>
      <c r="O396" s="7"/>
      <c r="P396" s="7"/>
      <c r="Q396" s="7"/>
      <c r="R396" s="7"/>
      <c r="S396" s="7"/>
      <c r="T396" s="7"/>
      <c r="U396" s="7"/>
      <c r="V396" s="7"/>
      <c r="W396" s="7"/>
      <c r="X396" s="7"/>
      <c r="Y396" s="7"/>
    </row>
    <row r="397" spans="3:25" x14ac:dyDescent="0.2">
      <c r="C397" s="7"/>
      <c r="D397" s="7"/>
      <c r="E397" s="7"/>
      <c r="F397" s="7"/>
      <c r="G397" s="7"/>
      <c r="H397" s="7"/>
      <c r="I397" s="7"/>
      <c r="J397" s="7"/>
      <c r="K397" s="7"/>
      <c r="L397" s="7"/>
      <c r="M397" s="7"/>
      <c r="N397" s="7"/>
      <c r="O397" s="7"/>
      <c r="P397" s="7"/>
      <c r="Q397" s="7"/>
      <c r="R397" s="7"/>
      <c r="S397" s="7"/>
      <c r="T397" s="7"/>
      <c r="U397" s="7"/>
      <c r="V397" s="7"/>
      <c r="W397" s="7"/>
      <c r="X397" s="7"/>
      <c r="Y397" s="7"/>
    </row>
    <row r="398" spans="3:25" x14ac:dyDescent="0.2">
      <c r="C398" s="7"/>
      <c r="D398" s="7"/>
      <c r="E398" s="7"/>
      <c r="F398" s="7"/>
      <c r="G398" s="7"/>
      <c r="H398" s="7"/>
      <c r="I398" s="7"/>
      <c r="J398" s="7"/>
      <c r="K398" s="7"/>
      <c r="L398" s="7"/>
      <c r="M398" s="7"/>
      <c r="N398" s="7"/>
      <c r="O398" s="7"/>
      <c r="P398" s="7"/>
      <c r="Q398" s="7"/>
      <c r="R398" s="7"/>
      <c r="S398" s="7"/>
      <c r="T398" s="7"/>
      <c r="U398" s="7"/>
      <c r="V398" s="7"/>
      <c r="W398" s="7"/>
      <c r="X398" s="7"/>
      <c r="Y398" s="7"/>
    </row>
    <row r="399" spans="3:25" x14ac:dyDescent="0.2">
      <c r="C399" s="7"/>
      <c r="D399" s="7"/>
      <c r="E399" s="7"/>
      <c r="F399" s="7"/>
      <c r="G399" s="7"/>
      <c r="H399" s="7"/>
      <c r="I399" s="7"/>
      <c r="J399" s="7"/>
      <c r="K399" s="7"/>
      <c r="L399" s="7"/>
      <c r="M399" s="7"/>
      <c r="N399" s="7"/>
      <c r="O399" s="7"/>
      <c r="P399" s="7"/>
      <c r="Q399" s="7"/>
      <c r="R399" s="7"/>
      <c r="S399" s="7"/>
      <c r="T399" s="7"/>
      <c r="U399" s="7"/>
      <c r="V399" s="7"/>
      <c r="W399" s="7"/>
      <c r="X399" s="7"/>
      <c r="Y399" s="7"/>
    </row>
    <row r="400" spans="3:25" x14ac:dyDescent="0.2">
      <c r="C400" s="7"/>
      <c r="D400" s="7"/>
      <c r="E400" s="7"/>
      <c r="F400" s="7"/>
      <c r="G400" s="7"/>
      <c r="H400" s="7"/>
      <c r="I400" s="7"/>
      <c r="J400" s="7"/>
      <c r="K400" s="7"/>
      <c r="L400" s="7"/>
      <c r="M400" s="7"/>
      <c r="N400" s="7"/>
      <c r="O400" s="7"/>
      <c r="P400" s="7"/>
      <c r="Q400" s="7"/>
      <c r="R400" s="7"/>
      <c r="S400" s="7"/>
      <c r="T400" s="7"/>
      <c r="U400" s="7"/>
      <c r="V400" s="7"/>
      <c r="W400" s="7"/>
      <c r="X400" s="7"/>
      <c r="Y400" s="7"/>
    </row>
    <row r="401" spans="3:25" x14ac:dyDescent="0.2">
      <c r="C401" s="7"/>
      <c r="D401" s="7"/>
      <c r="E401" s="7"/>
      <c r="F401" s="7"/>
      <c r="G401" s="7"/>
      <c r="H401" s="7"/>
      <c r="I401" s="7"/>
      <c r="J401" s="7"/>
      <c r="K401" s="7"/>
      <c r="L401" s="7"/>
      <c r="M401" s="7"/>
      <c r="N401" s="7"/>
      <c r="O401" s="7"/>
      <c r="P401" s="7"/>
      <c r="Q401" s="7"/>
      <c r="R401" s="7"/>
      <c r="S401" s="7"/>
      <c r="T401" s="7"/>
      <c r="U401" s="7"/>
      <c r="V401" s="7"/>
      <c r="W401" s="7"/>
      <c r="X401" s="7"/>
      <c r="Y401" s="7"/>
    </row>
    <row r="402" spans="3:25" x14ac:dyDescent="0.2">
      <c r="C402" s="7"/>
      <c r="D402" s="7"/>
      <c r="E402" s="7"/>
      <c r="F402" s="7"/>
      <c r="G402" s="7"/>
      <c r="H402" s="7"/>
      <c r="I402" s="7"/>
      <c r="J402" s="7"/>
      <c r="K402" s="7"/>
      <c r="L402" s="7"/>
      <c r="M402" s="7"/>
      <c r="N402" s="7"/>
      <c r="O402" s="7"/>
      <c r="P402" s="7"/>
      <c r="Q402" s="7"/>
      <c r="R402" s="7"/>
      <c r="S402" s="7"/>
      <c r="T402" s="7"/>
      <c r="U402" s="7"/>
      <c r="V402" s="7"/>
      <c r="W402" s="7"/>
      <c r="X402" s="7"/>
      <c r="Y402" s="7"/>
    </row>
    <row r="403" spans="3:25" x14ac:dyDescent="0.2">
      <c r="C403" s="7"/>
      <c r="D403" s="7"/>
      <c r="E403" s="7"/>
      <c r="F403" s="7"/>
      <c r="G403" s="7"/>
      <c r="H403" s="7"/>
      <c r="I403" s="7"/>
      <c r="J403" s="7"/>
      <c r="K403" s="7"/>
      <c r="L403" s="7"/>
      <c r="M403" s="7"/>
      <c r="N403" s="7"/>
      <c r="O403" s="7"/>
      <c r="P403" s="7"/>
      <c r="Q403" s="7"/>
      <c r="R403" s="7"/>
      <c r="S403" s="7"/>
      <c r="T403" s="7"/>
      <c r="U403" s="7"/>
      <c r="V403" s="7"/>
      <c r="W403" s="7"/>
      <c r="X403" s="7"/>
      <c r="Y403" s="7"/>
    </row>
    <row r="404" spans="3:25" x14ac:dyDescent="0.2">
      <c r="C404" s="7"/>
      <c r="D404" s="7"/>
      <c r="E404" s="7"/>
      <c r="F404" s="7"/>
      <c r="G404" s="7"/>
      <c r="H404" s="7"/>
      <c r="I404" s="7"/>
      <c r="J404" s="7"/>
      <c r="K404" s="7"/>
      <c r="L404" s="7"/>
      <c r="M404" s="7"/>
      <c r="N404" s="7"/>
      <c r="O404" s="7"/>
      <c r="P404" s="7"/>
      <c r="Q404" s="7"/>
      <c r="R404" s="7"/>
      <c r="S404" s="7"/>
      <c r="T404" s="7"/>
      <c r="U404" s="7"/>
      <c r="V404" s="7"/>
      <c r="W404" s="7"/>
      <c r="X404" s="7"/>
      <c r="Y404" s="7"/>
    </row>
    <row r="405" spans="3:25" x14ac:dyDescent="0.2">
      <c r="C405" s="7"/>
      <c r="D405" s="7"/>
      <c r="E405" s="7"/>
      <c r="F405" s="7"/>
      <c r="G405" s="7"/>
      <c r="H405" s="7"/>
      <c r="I405" s="7"/>
      <c r="J405" s="7"/>
      <c r="K405" s="7"/>
      <c r="L405" s="7"/>
      <c r="M405" s="7"/>
      <c r="N405" s="7"/>
      <c r="O405" s="7"/>
      <c r="P405" s="7"/>
      <c r="Q405" s="7"/>
      <c r="R405" s="7"/>
      <c r="S405" s="7"/>
      <c r="T405" s="7"/>
      <c r="U405" s="7"/>
      <c r="V405" s="7"/>
      <c r="W405" s="7"/>
      <c r="X405" s="7"/>
      <c r="Y405" s="7"/>
    </row>
    <row r="406" spans="3:25" x14ac:dyDescent="0.2">
      <c r="C406" s="7"/>
      <c r="D406" s="7"/>
      <c r="E406" s="7"/>
      <c r="F406" s="7"/>
      <c r="G406" s="7"/>
      <c r="H406" s="7"/>
      <c r="I406" s="7"/>
      <c r="J406" s="7"/>
      <c r="K406" s="7"/>
      <c r="L406" s="7"/>
      <c r="M406" s="7"/>
      <c r="N406" s="7"/>
      <c r="O406" s="7"/>
      <c r="P406" s="7"/>
      <c r="Q406" s="7"/>
      <c r="R406" s="7"/>
      <c r="S406" s="7"/>
      <c r="T406" s="7"/>
      <c r="U406" s="7"/>
      <c r="V406" s="7"/>
      <c r="W406" s="7"/>
      <c r="X406" s="7"/>
      <c r="Y406" s="7"/>
    </row>
    <row r="407" spans="3:25" x14ac:dyDescent="0.2">
      <c r="C407" s="7"/>
      <c r="D407" s="7"/>
      <c r="E407" s="7"/>
      <c r="F407" s="7"/>
      <c r="G407" s="7"/>
      <c r="H407" s="7"/>
      <c r="I407" s="7"/>
      <c r="J407" s="7"/>
      <c r="K407" s="7"/>
      <c r="L407" s="7"/>
      <c r="M407" s="7"/>
      <c r="N407" s="7"/>
      <c r="O407" s="7"/>
      <c r="P407" s="7"/>
      <c r="Q407" s="7"/>
      <c r="R407" s="7"/>
      <c r="S407" s="7"/>
      <c r="T407" s="7"/>
      <c r="U407" s="7"/>
      <c r="V407" s="7"/>
      <c r="W407" s="7"/>
      <c r="X407" s="7"/>
      <c r="Y407" s="7"/>
    </row>
    <row r="408" spans="3:25" x14ac:dyDescent="0.2">
      <c r="C408" s="7"/>
      <c r="D408" s="7"/>
      <c r="E408" s="7"/>
      <c r="F408" s="7"/>
      <c r="G408" s="7"/>
      <c r="H408" s="7"/>
      <c r="I408" s="7"/>
      <c r="J408" s="7"/>
      <c r="K408" s="7"/>
      <c r="L408" s="7"/>
      <c r="M408" s="7"/>
      <c r="N408" s="7"/>
      <c r="O408" s="7"/>
      <c r="P408" s="7"/>
      <c r="Q408" s="7"/>
      <c r="R408" s="7"/>
      <c r="S408" s="7"/>
      <c r="T408" s="7"/>
      <c r="U408" s="7"/>
      <c r="V408" s="7"/>
      <c r="W408" s="7"/>
      <c r="X408" s="7"/>
      <c r="Y408" s="7"/>
    </row>
    <row r="409" spans="3:25" x14ac:dyDescent="0.2">
      <c r="C409" s="7"/>
      <c r="D409" s="7"/>
      <c r="E409" s="7"/>
      <c r="F409" s="7"/>
      <c r="G409" s="7"/>
      <c r="H409" s="7"/>
      <c r="I409" s="7"/>
      <c r="J409" s="7"/>
      <c r="K409" s="7"/>
      <c r="L409" s="7"/>
      <c r="M409" s="7"/>
      <c r="N409" s="7"/>
      <c r="O409" s="7"/>
      <c r="P409" s="7"/>
      <c r="Q409" s="7"/>
      <c r="R409" s="7"/>
      <c r="S409" s="7"/>
      <c r="T409" s="7"/>
      <c r="U409" s="7"/>
      <c r="V409" s="7"/>
      <c r="W409" s="7"/>
      <c r="X409" s="7"/>
      <c r="Y409" s="7"/>
    </row>
    <row r="410" spans="3:25" x14ac:dyDescent="0.2">
      <c r="C410" s="7"/>
      <c r="D410" s="7"/>
      <c r="E410" s="7"/>
      <c r="F410" s="7"/>
      <c r="G410" s="7"/>
      <c r="H410" s="7"/>
      <c r="I410" s="7"/>
      <c r="J410" s="7"/>
      <c r="K410" s="7"/>
      <c r="L410" s="7"/>
      <c r="M410" s="7"/>
      <c r="N410" s="7"/>
      <c r="O410" s="7"/>
      <c r="P410" s="7"/>
      <c r="Q410" s="7"/>
      <c r="R410" s="7"/>
      <c r="S410" s="7"/>
      <c r="T410" s="7"/>
      <c r="U410" s="7"/>
      <c r="V410" s="7"/>
      <c r="W410" s="7"/>
      <c r="X410" s="7"/>
      <c r="Y410" s="7"/>
    </row>
    <row r="411" spans="3:25" x14ac:dyDescent="0.2">
      <c r="C411" s="7"/>
      <c r="D411" s="7"/>
      <c r="E411" s="7"/>
      <c r="F411" s="7"/>
      <c r="G411" s="7"/>
      <c r="H411" s="7"/>
      <c r="I411" s="7"/>
      <c r="J411" s="7"/>
      <c r="K411" s="7"/>
      <c r="L411" s="7"/>
      <c r="M411" s="7"/>
      <c r="N411" s="7"/>
      <c r="O411" s="7"/>
      <c r="P411" s="7"/>
      <c r="Q411" s="7"/>
      <c r="R411" s="7"/>
      <c r="S411" s="7"/>
      <c r="T411" s="7"/>
      <c r="U411" s="7"/>
      <c r="V411" s="7"/>
      <c r="W411" s="7"/>
      <c r="X411" s="7"/>
      <c r="Y411" s="7"/>
    </row>
    <row r="412" spans="3:25" x14ac:dyDescent="0.2">
      <c r="C412" s="7"/>
      <c r="D412" s="7"/>
      <c r="E412" s="7"/>
      <c r="F412" s="7"/>
      <c r="G412" s="7"/>
      <c r="H412" s="7"/>
      <c r="I412" s="7"/>
      <c r="J412" s="7"/>
      <c r="K412" s="7"/>
      <c r="L412" s="7"/>
      <c r="M412" s="7"/>
      <c r="N412" s="7"/>
      <c r="O412" s="7"/>
      <c r="P412" s="7"/>
      <c r="Q412" s="7"/>
      <c r="R412" s="7"/>
      <c r="S412" s="7"/>
      <c r="T412" s="7"/>
      <c r="U412" s="7"/>
      <c r="V412" s="7"/>
      <c r="W412" s="7"/>
      <c r="X412" s="7"/>
      <c r="Y412" s="7"/>
    </row>
    <row r="413" spans="3:25" x14ac:dyDescent="0.2">
      <c r="C413" s="7"/>
      <c r="D413" s="7"/>
      <c r="E413" s="7"/>
      <c r="F413" s="7"/>
      <c r="G413" s="7"/>
      <c r="H413" s="7"/>
      <c r="I413" s="7"/>
      <c r="J413" s="7"/>
      <c r="K413" s="7"/>
      <c r="L413" s="7"/>
      <c r="M413" s="7"/>
      <c r="N413" s="7"/>
      <c r="O413" s="7"/>
      <c r="P413" s="7"/>
      <c r="Q413" s="7"/>
      <c r="R413" s="7"/>
      <c r="S413" s="7"/>
      <c r="T413" s="7"/>
      <c r="U413" s="7"/>
      <c r="V413" s="7"/>
      <c r="W413" s="7"/>
      <c r="X413" s="7"/>
      <c r="Y413" s="7"/>
    </row>
    <row r="414" spans="3:25" x14ac:dyDescent="0.2">
      <c r="C414" s="7"/>
      <c r="D414" s="7"/>
      <c r="E414" s="7"/>
      <c r="F414" s="7"/>
      <c r="G414" s="7"/>
      <c r="H414" s="7"/>
      <c r="I414" s="7"/>
      <c r="J414" s="7"/>
      <c r="K414" s="7"/>
      <c r="L414" s="7"/>
      <c r="M414" s="7"/>
      <c r="N414" s="7"/>
      <c r="O414" s="7"/>
      <c r="P414" s="7"/>
      <c r="Q414" s="7"/>
      <c r="R414" s="7"/>
      <c r="S414" s="7"/>
      <c r="T414" s="7"/>
      <c r="U414" s="7"/>
      <c r="V414" s="7"/>
      <c r="W414" s="7"/>
      <c r="X414" s="7"/>
      <c r="Y414" s="7"/>
    </row>
    <row r="415" spans="3:25" x14ac:dyDescent="0.2">
      <c r="C415" s="7"/>
      <c r="D415" s="7"/>
      <c r="E415" s="7"/>
      <c r="F415" s="7"/>
      <c r="G415" s="7"/>
      <c r="H415" s="7"/>
      <c r="I415" s="7"/>
      <c r="J415" s="7"/>
      <c r="K415" s="7"/>
      <c r="L415" s="7"/>
      <c r="M415" s="7"/>
      <c r="N415" s="7"/>
      <c r="O415" s="7"/>
      <c r="P415" s="7"/>
      <c r="Q415" s="7"/>
      <c r="R415" s="7"/>
      <c r="S415" s="7"/>
      <c r="T415" s="7"/>
      <c r="U415" s="7"/>
      <c r="V415" s="7"/>
      <c r="W415" s="7"/>
      <c r="X415" s="7"/>
      <c r="Y415" s="7"/>
    </row>
    <row r="416" spans="3:25" x14ac:dyDescent="0.2">
      <c r="C416" s="7"/>
      <c r="D416" s="7"/>
      <c r="E416" s="7"/>
      <c r="F416" s="7"/>
      <c r="G416" s="7"/>
      <c r="H416" s="7"/>
      <c r="I416" s="7"/>
      <c r="J416" s="7"/>
      <c r="K416" s="7"/>
      <c r="L416" s="7"/>
      <c r="M416" s="7"/>
      <c r="N416" s="7"/>
      <c r="O416" s="7"/>
      <c r="P416" s="7"/>
      <c r="Q416" s="7"/>
      <c r="R416" s="7"/>
      <c r="S416" s="7"/>
      <c r="T416" s="7"/>
      <c r="U416" s="7"/>
      <c r="V416" s="7"/>
      <c r="W416" s="7"/>
      <c r="X416" s="7"/>
      <c r="Y416" s="7"/>
    </row>
    <row r="417" spans="3:25" x14ac:dyDescent="0.2">
      <c r="C417" s="7"/>
      <c r="D417" s="7"/>
      <c r="E417" s="7"/>
      <c r="F417" s="7"/>
      <c r="G417" s="7"/>
      <c r="H417" s="7"/>
      <c r="I417" s="7"/>
      <c r="J417" s="7"/>
      <c r="K417" s="7"/>
      <c r="L417" s="7"/>
      <c r="M417" s="7"/>
      <c r="N417" s="7"/>
      <c r="O417" s="7"/>
      <c r="P417" s="7"/>
      <c r="Q417" s="7"/>
      <c r="R417" s="7"/>
      <c r="S417" s="7"/>
      <c r="T417" s="7"/>
      <c r="U417" s="7"/>
      <c r="V417" s="7"/>
      <c r="W417" s="7"/>
      <c r="X417" s="7"/>
      <c r="Y417" s="7"/>
    </row>
    <row r="418" spans="3:25" x14ac:dyDescent="0.2">
      <c r="C418" s="7"/>
      <c r="D418" s="7"/>
      <c r="E418" s="7"/>
      <c r="F418" s="7"/>
      <c r="G418" s="7"/>
      <c r="H418" s="7"/>
      <c r="I418" s="7"/>
      <c r="J418" s="7"/>
      <c r="K418" s="7"/>
      <c r="L418" s="7"/>
      <c r="M418" s="7"/>
      <c r="N418" s="7"/>
      <c r="O418" s="7"/>
      <c r="P418" s="7"/>
      <c r="Q418" s="7"/>
      <c r="R418" s="7"/>
      <c r="S418" s="7"/>
      <c r="T418" s="7"/>
      <c r="U418" s="7"/>
      <c r="V418" s="7"/>
      <c r="W418" s="7"/>
      <c r="X418" s="7"/>
      <c r="Y418" s="7"/>
    </row>
    <row r="419" spans="3:25" x14ac:dyDescent="0.2">
      <c r="C419" s="7"/>
      <c r="D419" s="7"/>
      <c r="E419" s="7"/>
      <c r="F419" s="7"/>
      <c r="G419" s="7"/>
      <c r="H419" s="7"/>
      <c r="I419" s="7"/>
      <c r="J419" s="7"/>
      <c r="K419" s="7"/>
      <c r="L419" s="7"/>
      <c r="M419" s="7"/>
      <c r="N419" s="7"/>
      <c r="O419" s="7"/>
      <c r="P419" s="7"/>
      <c r="Q419" s="7"/>
      <c r="R419" s="7"/>
      <c r="S419" s="7"/>
      <c r="T419" s="7"/>
      <c r="U419" s="7"/>
      <c r="V419" s="7"/>
      <c r="W419" s="7"/>
      <c r="X419" s="7"/>
      <c r="Y419" s="7"/>
    </row>
    <row r="420" spans="3:25" x14ac:dyDescent="0.2">
      <c r="C420" s="7"/>
      <c r="D420" s="7"/>
      <c r="E420" s="7"/>
      <c r="F420" s="7"/>
      <c r="G420" s="7"/>
      <c r="H420" s="7"/>
      <c r="I420" s="7"/>
      <c r="J420" s="7"/>
      <c r="K420" s="7"/>
      <c r="L420" s="7"/>
      <c r="M420" s="7"/>
      <c r="N420" s="7"/>
      <c r="O420" s="7"/>
      <c r="P420" s="7"/>
      <c r="Q420" s="7"/>
      <c r="R420" s="7"/>
      <c r="S420" s="7"/>
      <c r="T420" s="7"/>
      <c r="U420" s="7"/>
      <c r="V420" s="7"/>
      <c r="W420" s="7"/>
      <c r="X420" s="7"/>
      <c r="Y420" s="7"/>
    </row>
    <row r="421" spans="3:25" x14ac:dyDescent="0.2">
      <c r="C421" s="7"/>
      <c r="D421" s="7"/>
      <c r="E421" s="7"/>
      <c r="F421" s="7"/>
      <c r="G421" s="7"/>
      <c r="H421" s="7"/>
      <c r="I421" s="7"/>
      <c r="J421" s="7"/>
      <c r="K421" s="7"/>
      <c r="L421" s="7"/>
      <c r="M421" s="7"/>
      <c r="N421" s="7"/>
      <c r="O421" s="7"/>
      <c r="P421" s="7"/>
      <c r="Q421" s="7"/>
      <c r="R421" s="7"/>
      <c r="S421" s="7"/>
      <c r="T421" s="7"/>
      <c r="U421" s="7"/>
      <c r="V421" s="7"/>
      <c r="W421" s="7"/>
      <c r="X421" s="7"/>
      <c r="Y421" s="7"/>
    </row>
    <row r="422" spans="3:25" x14ac:dyDescent="0.2">
      <c r="C422" s="7"/>
      <c r="D422" s="7"/>
      <c r="E422" s="7"/>
      <c r="F422" s="7"/>
      <c r="G422" s="7"/>
      <c r="H422" s="7"/>
      <c r="I422" s="7"/>
      <c r="J422" s="7"/>
      <c r="K422" s="7"/>
      <c r="L422" s="7"/>
      <c r="M422" s="7"/>
      <c r="N422" s="7"/>
      <c r="O422" s="7"/>
      <c r="P422" s="7"/>
      <c r="Q422" s="7"/>
      <c r="R422" s="7"/>
      <c r="S422" s="7"/>
      <c r="T422" s="7"/>
      <c r="U422" s="7"/>
      <c r="V422" s="7"/>
      <c r="W422" s="7"/>
      <c r="X422" s="7"/>
      <c r="Y422" s="7"/>
    </row>
    <row r="423" spans="3:25" x14ac:dyDescent="0.2">
      <c r="C423" s="7"/>
      <c r="D423" s="7"/>
      <c r="E423" s="7"/>
      <c r="F423" s="7"/>
      <c r="G423" s="7"/>
      <c r="H423" s="7"/>
      <c r="I423" s="7"/>
      <c r="J423" s="7"/>
      <c r="K423" s="7"/>
      <c r="L423" s="7"/>
      <c r="M423" s="7"/>
      <c r="N423" s="7"/>
      <c r="O423" s="7"/>
      <c r="P423" s="7"/>
      <c r="Q423" s="7"/>
      <c r="R423" s="7"/>
      <c r="S423" s="7"/>
      <c r="T423" s="7"/>
      <c r="U423" s="7"/>
      <c r="V423" s="7"/>
      <c r="W423" s="7"/>
      <c r="X423" s="7"/>
      <c r="Y423" s="7"/>
    </row>
    <row r="424" spans="3:25" x14ac:dyDescent="0.2">
      <c r="C424" s="7"/>
      <c r="D424" s="7"/>
      <c r="E424" s="7"/>
      <c r="F424" s="7"/>
      <c r="G424" s="7"/>
      <c r="H424" s="7"/>
      <c r="I424" s="7"/>
      <c r="J424" s="7"/>
      <c r="K424" s="7"/>
      <c r="L424" s="7"/>
      <c r="M424" s="7"/>
      <c r="N424" s="7"/>
      <c r="O424" s="7"/>
      <c r="P424" s="7"/>
      <c r="Q424" s="7"/>
      <c r="R424" s="7"/>
      <c r="S424" s="7"/>
      <c r="T424" s="7"/>
      <c r="U424" s="7"/>
      <c r="V424" s="7"/>
      <c r="W424" s="7"/>
      <c r="X424" s="7"/>
      <c r="Y424" s="7"/>
    </row>
    <row r="425" spans="3:25" x14ac:dyDescent="0.2">
      <c r="C425" s="7"/>
      <c r="D425" s="7"/>
      <c r="E425" s="7"/>
      <c r="F425" s="7"/>
      <c r="G425" s="7"/>
      <c r="H425" s="7"/>
      <c r="I425" s="7"/>
      <c r="J425" s="7"/>
      <c r="K425" s="7"/>
      <c r="L425" s="7"/>
      <c r="M425" s="7"/>
      <c r="N425" s="7"/>
      <c r="O425" s="7"/>
      <c r="P425" s="7"/>
      <c r="Q425" s="7"/>
      <c r="R425" s="7"/>
      <c r="S425" s="7"/>
      <c r="T425" s="7"/>
      <c r="U425" s="7"/>
      <c r="V425" s="7"/>
      <c r="W425" s="7"/>
      <c r="X425" s="7"/>
      <c r="Y425" s="7"/>
    </row>
    <row r="426" spans="3:25" x14ac:dyDescent="0.2">
      <c r="C426" s="7"/>
      <c r="D426" s="7"/>
      <c r="E426" s="7"/>
      <c r="F426" s="7"/>
      <c r="G426" s="7"/>
      <c r="H426" s="7"/>
      <c r="I426" s="7"/>
      <c r="J426" s="7"/>
      <c r="K426" s="7"/>
      <c r="L426" s="7"/>
      <c r="M426" s="7"/>
      <c r="N426" s="7"/>
      <c r="O426" s="7"/>
      <c r="P426" s="7"/>
      <c r="Q426" s="7"/>
      <c r="R426" s="7"/>
      <c r="S426" s="7"/>
      <c r="T426" s="7"/>
      <c r="U426" s="7"/>
      <c r="V426" s="7"/>
      <c r="W426" s="7"/>
      <c r="X426" s="7"/>
      <c r="Y426" s="7"/>
    </row>
    <row r="427" spans="3:25" x14ac:dyDescent="0.2">
      <c r="C427" s="7"/>
      <c r="D427" s="7"/>
      <c r="E427" s="7"/>
      <c r="F427" s="7"/>
      <c r="G427" s="7"/>
      <c r="H427" s="7"/>
      <c r="I427" s="7"/>
      <c r="J427" s="7"/>
      <c r="K427" s="7"/>
      <c r="L427" s="7"/>
      <c r="M427" s="7"/>
      <c r="N427" s="7"/>
      <c r="O427" s="7"/>
      <c r="P427" s="7"/>
      <c r="Q427" s="7"/>
      <c r="R427" s="7"/>
      <c r="S427" s="7"/>
      <c r="T427" s="7"/>
      <c r="U427" s="7"/>
      <c r="V427" s="7"/>
      <c r="W427" s="7"/>
      <c r="X427" s="7"/>
      <c r="Y427" s="7"/>
    </row>
    <row r="428" spans="3:25" x14ac:dyDescent="0.2">
      <c r="C428" s="7"/>
      <c r="D428" s="7"/>
      <c r="E428" s="7"/>
      <c r="F428" s="7"/>
      <c r="G428" s="7"/>
      <c r="H428" s="7"/>
      <c r="I428" s="7"/>
      <c r="J428" s="7"/>
      <c r="K428" s="7"/>
      <c r="L428" s="7"/>
      <c r="M428" s="7"/>
      <c r="N428" s="7"/>
      <c r="O428" s="7"/>
      <c r="P428" s="7"/>
      <c r="Q428" s="7"/>
      <c r="R428" s="7"/>
      <c r="S428" s="7"/>
      <c r="T428" s="7"/>
      <c r="U428" s="7"/>
      <c r="V428" s="7"/>
      <c r="W428" s="7"/>
      <c r="X428" s="7"/>
      <c r="Y428" s="7"/>
    </row>
    <row r="429" spans="3:25" x14ac:dyDescent="0.2">
      <c r="C429" s="7"/>
      <c r="D429" s="7"/>
      <c r="E429" s="7"/>
      <c r="F429" s="7"/>
      <c r="G429" s="7"/>
      <c r="H429" s="7"/>
      <c r="I429" s="7"/>
      <c r="J429" s="7"/>
      <c r="K429" s="7"/>
      <c r="L429" s="7"/>
      <c r="M429" s="7"/>
      <c r="N429" s="7"/>
      <c r="O429" s="7"/>
      <c r="P429" s="7"/>
      <c r="Q429" s="7"/>
      <c r="R429" s="7"/>
      <c r="S429" s="7"/>
      <c r="T429" s="7"/>
      <c r="U429" s="7"/>
      <c r="V429" s="7"/>
      <c r="W429" s="7"/>
      <c r="X429" s="7"/>
      <c r="Y429" s="7"/>
    </row>
    <row r="430" spans="3:25" x14ac:dyDescent="0.2">
      <c r="C430" s="7"/>
      <c r="D430" s="7"/>
      <c r="E430" s="7"/>
      <c r="F430" s="7"/>
      <c r="G430" s="7"/>
      <c r="H430" s="7"/>
      <c r="I430" s="7"/>
      <c r="J430" s="7"/>
      <c r="K430" s="7"/>
      <c r="L430" s="7"/>
      <c r="M430" s="7"/>
      <c r="N430" s="7"/>
      <c r="O430" s="7"/>
      <c r="P430" s="7"/>
      <c r="Q430" s="7"/>
      <c r="R430" s="7"/>
      <c r="S430" s="7"/>
      <c r="T430" s="7"/>
      <c r="U430" s="7"/>
      <c r="V430" s="7"/>
      <c r="W430" s="7"/>
      <c r="X430" s="7"/>
      <c r="Y430" s="7"/>
    </row>
    <row r="431" spans="3:25" x14ac:dyDescent="0.2">
      <c r="C431" s="7"/>
      <c r="D431" s="7"/>
      <c r="E431" s="7"/>
      <c r="F431" s="7"/>
      <c r="G431" s="7"/>
      <c r="H431" s="7"/>
      <c r="I431" s="7"/>
      <c r="J431" s="7"/>
      <c r="K431" s="7"/>
      <c r="L431" s="7"/>
      <c r="M431" s="7"/>
      <c r="N431" s="7"/>
      <c r="O431" s="7"/>
      <c r="P431" s="7"/>
      <c r="Q431" s="7"/>
      <c r="R431" s="7"/>
      <c r="S431" s="7"/>
      <c r="T431" s="7"/>
      <c r="U431" s="7"/>
      <c r="V431" s="7"/>
      <c r="W431" s="7"/>
      <c r="X431" s="7"/>
      <c r="Y431" s="7"/>
    </row>
    <row r="432" spans="3:25" x14ac:dyDescent="0.2">
      <c r="C432" s="7"/>
      <c r="D432" s="7"/>
      <c r="E432" s="7"/>
      <c r="F432" s="7"/>
      <c r="G432" s="7"/>
      <c r="H432" s="7"/>
      <c r="I432" s="7"/>
      <c r="J432" s="7"/>
      <c r="K432" s="7"/>
      <c r="L432" s="7"/>
      <c r="M432" s="7"/>
      <c r="N432" s="7"/>
      <c r="O432" s="7"/>
      <c r="P432" s="7"/>
      <c r="Q432" s="7"/>
      <c r="R432" s="7"/>
      <c r="S432" s="7"/>
      <c r="T432" s="7"/>
      <c r="U432" s="7"/>
      <c r="V432" s="7"/>
      <c r="W432" s="7"/>
      <c r="X432" s="7"/>
      <c r="Y432" s="7"/>
    </row>
    <row r="433" spans="3:25" x14ac:dyDescent="0.2">
      <c r="C433" s="7"/>
      <c r="D433" s="7"/>
      <c r="E433" s="7"/>
      <c r="F433" s="7"/>
      <c r="G433" s="7"/>
      <c r="H433" s="7"/>
      <c r="I433" s="7"/>
      <c r="J433" s="7"/>
      <c r="K433" s="7"/>
      <c r="L433" s="7"/>
      <c r="M433" s="7"/>
      <c r="N433" s="7"/>
      <c r="O433" s="7"/>
      <c r="P433" s="7"/>
      <c r="Q433" s="7"/>
      <c r="R433" s="7"/>
      <c r="S433" s="7"/>
      <c r="T433" s="7"/>
      <c r="U433" s="7"/>
      <c r="V433" s="7"/>
      <c r="W433" s="7"/>
      <c r="X433" s="7"/>
      <c r="Y433" s="7"/>
    </row>
    <row r="434" spans="3:25" x14ac:dyDescent="0.2">
      <c r="C434" s="7"/>
      <c r="D434" s="7"/>
      <c r="E434" s="7"/>
      <c r="F434" s="7"/>
      <c r="G434" s="7"/>
      <c r="H434" s="7"/>
      <c r="I434" s="7"/>
      <c r="J434" s="7"/>
      <c r="K434" s="7"/>
      <c r="L434" s="7"/>
      <c r="M434" s="7"/>
      <c r="N434" s="7"/>
      <c r="O434" s="7"/>
      <c r="P434" s="7"/>
      <c r="Q434" s="7"/>
      <c r="R434" s="7"/>
      <c r="S434" s="7"/>
      <c r="T434" s="7"/>
      <c r="U434" s="7"/>
      <c r="V434" s="7"/>
      <c r="W434" s="7"/>
      <c r="X434" s="7"/>
      <c r="Y434" s="7"/>
    </row>
    <row r="435" spans="3:25" x14ac:dyDescent="0.2">
      <c r="C435" s="7"/>
      <c r="D435" s="7"/>
      <c r="E435" s="7"/>
      <c r="F435" s="7"/>
      <c r="G435" s="7"/>
      <c r="H435" s="7"/>
      <c r="I435" s="7"/>
      <c r="J435" s="7"/>
      <c r="K435" s="7"/>
      <c r="L435" s="7"/>
      <c r="M435" s="7"/>
      <c r="N435" s="7"/>
      <c r="O435" s="7"/>
      <c r="P435" s="7"/>
      <c r="Q435" s="7"/>
      <c r="R435" s="7"/>
      <c r="S435" s="7"/>
      <c r="T435" s="7"/>
      <c r="U435" s="7"/>
      <c r="V435" s="7"/>
      <c r="W435" s="7"/>
      <c r="X435" s="7"/>
      <c r="Y435" s="7"/>
    </row>
    <row r="436" spans="3:25" x14ac:dyDescent="0.2">
      <c r="C436" s="7"/>
      <c r="D436" s="7"/>
      <c r="E436" s="7"/>
      <c r="F436" s="7"/>
      <c r="G436" s="7"/>
      <c r="H436" s="7"/>
      <c r="I436" s="7"/>
      <c r="J436" s="7"/>
      <c r="K436" s="7"/>
      <c r="L436" s="7"/>
      <c r="M436" s="7"/>
      <c r="N436" s="7"/>
      <c r="O436" s="7"/>
      <c r="P436" s="7"/>
      <c r="Q436" s="7"/>
      <c r="R436" s="7"/>
      <c r="S436" s="7"/>
      <c r="T436" s="7"/>
      <c r="U436" s="7"/>
      <c r="V436" s="7"/>
      <c r="W436" s="7"/>
      <c r="X436" s="7"/>
      <c r="Y436" s="7"/>
    </row>
    <row r="437" spans="3:25" x14ac:dyDescent="0.2">
      <c r="C437" s="7"/>
      <c r="D437" s="7"/>
      <c r="E437" s="7"/>
      <c r="F437" s="7"/>
      <c r="G437" s="7"/>
      <c r="H437" s="7"/>
      <c r="I437" s="7"/>
      <c r="J437" s="7"/>
      <c r="K437" s="7"/>
      <c r="L437" s="7"/>
      <c r="M437" s="7"/>
      <c r="N437" s="7"/>
      <c r="O437" s="7"/>
      <c r="P437" s="7"/>
      <c r="Q437" s="7"/>
      <c r="R437" s="7"/>
      <c r="S437" s="7"/>
      <c r="T437" s="7"/>
      <c r="U437" s="7"/>
      <c r="V437" s="7"/>
      <c r="W437" s="7"/>
      <c r="X437" s="7"/>
      <c r="Y437" s="7"/>
    </row>
    <row r="438" spans="3:25" x14ac:dyDescent="0.2">
      <c r="C438" s="7"/>
      <c r="D438" s="7"/>
      <c r="E438" s="7"/>
      <c r="F438" s="7"/>
      <c r="G438" s="7"/>
      <c r="H438" s="7"/>
      <c r="I438" s="7"/>
      <c r="J438" s="7"/>
      <c r="K438" s="7"/>
      <c r="L438" s="7"/>
      <c r="M438" s="7"/>
      <c r="N438" s="7"/>
      <c r="O438" s="7"/>
      <c r="P438" s="7"/>
      <c r="Q438" s="7"/>
      <c r="R438" s="7"/>
      <c r="S438" s="7"/>
      <c r="T438" s="7"/>
      <c r="U438" s="7"/>
      <c r="V438" s="7"/>
      <c r="W438" s="7"/>
      <c r="X438" s="7"/>
      <c r="Y438" s="7"/>
    </row>
    <row r="439" spans="3:25" x14ac:dyDescent="0.2">
      <c r="C439" s="7"/>
      <c r="D439" s="7"/>
      <c r="E439" s="7"/>
      <c r="F439" s="7"/>
      <c r="G439" s="7"/>
      <c r="H439" s="7"/>
      <c r="I439" s="7"/>
      <c r="J439" s="7"/>
      <c r="K439" s="7"/>
      <c r="L439" s="7"/>
      <c r="M439" s="7"/>
      <c r="N439" s="7"/>
      <c r="O439" s="7"/>
      <c r="P439" s="7"/>
      <c r="Q439" s="7"/>
      <c r="R439" s="7"/>
      <c r="S439" s="7"/>
      <c r="T439" s="7"/>
      <c r="U439" s="7"/>
      <c r="V439" s="7"/>
      <c r="W439" s="7"/>
      <c r="X439" s="7"/>
      <c r="Y439" s="7"/>
    </row>
    <row r="440" spans="3:25" x14ac:dyDescent="0.2">
      <c r="C440" s="7"/>
      <c r="D440" s="7"/>
      <c r="E440" s="7"/>
      <c r="F440" s="7"/>
      <c r="G440" s="7"/>
      <c r="H440" s="7"/>
      <c r="I440" s="7"/>
      <c r="J440" s="7"/>
      <c r="K440" s="7"/>
      <c r="L440" s="7"/>
      <c r="M440" s="7"/>
      <c r="N440" s="7"/>
      <c r="O440" s="7"/>
      <c r="P440" s="7"/>
      <c r="Q440" s="7"/>
      <c r="R440" s="7"/>
      <c r="S440" s="7"/>
      <c r="T440" s="7"/>
      <c r="U440" s="7"/>
      <c r="V440" s="7"/>
      <c r="W440" s="7"/>
      <c r="X440" s="7"/>
      <c r="Y440" s="7"/>
    </row>
    <row r="441" spans="3:25" x14ac:dyDescent="0.2">
      <c r="C441" s="7"/>
      <c r="D441" s="7"/>
      <c r="E441" s="7"/>
      <c r="F441" s="7"/>
      <c r="G441" s="7"/>
      <c r="H441" s="7"/>
      <c r="I441" s="7"/>
      <c r="J441" s="7"/>
      <c r="K441" s="7"/>
      <c r="L441" s="7"/>
      <c r="M441" s="7"/>
      <c r="N441" s="7"/>
      <c r="O441" s="7"/>
      <c r="P441" s="7"/>
      <c r="Q441" s="7"/>
      <c r="R441" s="7"/>
      <c r="S441" s="7"/>
      <c r="T441" s="7"/>
      <c r="U441" s="7"/>
      <c r="V441" s="7"/>
      <c r="W441" s="7"/>
      <c r="X441" s="7"/>
      <c r="Y441" s="7"/>
    </row>
    <row r="442" spans="3:25" x14ac:dyDescent="0.2">
      <c r="C442" s="7"/>
      <c r="D442" s="7"/>
      <c r="E442" s="7"/>
      <c r="F442" s="7"/>
      <c r="G442" s="7"/>
      <c r="H442" s="7"/>
      <c r="I442" s="7"/>
      <c r="J442" s="7"/>
      <c r="K442" s="7"/>
      <c r="L442" s="7"/>
      <c r="M442" s="7"/>
      <c r="N442" s="7"/>
      <c r="O442" s="7"/>
      <c r="P442" s="7"/>
      <c r="Q442" s="7"/>
      <c r="R442" s="7"/>
      <c r="S442" s="7"/>
      <c r="T442" s="7"/>
      <c r="U442" s="7"/>
      <c r="V442" s="7"/>
      <c r="W442" s="7"/>
      <c r="X442" s="7"/>
      <c r="Y442" s="7"/>
    </row>
    <row r="443" spans="3:25" x14ac:dyDescent="0.2">
      <c r="C443" s="7"/>
      <c r="D443" s="7"/>
      <c r="E443" s="7"/>
      <c r="F443" s="7"/>
      <c r="G443" s="7"/>
      <c r="H443" s="7"/>
      <c r="I443" s="7"/>
      <c r="J443" s="7"/>
      <c r="K443" s="7"/>
      <c r="L443" s="7"/>
      <c r="M443" s="7"/>
      <c r="N443" s="7"/>
      <c r="O443" s="7"/>
      <c r="P443" s="7"/>
      <c r="Q443" s="7"/>
      <c r="R443" s="7"/>
      <c r="S443" s="7"/>
      <c r="T443" s="7"/>
      <c r="U443" s="7"/>
      <c r="V443" s="7"/>
      <c r="W443" s="7"/>
      <c r="X443" s="7"/>
      <c r="Y443" s="7"/>
    </row>
    <row r="444" spans="3:25" x14ac:dyDescent="0.2">
      <c r="C444" s="7"/>
      <c r="D444" s="7"/>
      <c r="E444" s="7"/>
      <c r="F444" s="7"/>
      <c r="G444" s="7"/>
      <c r="H444" s="7"/>
      <c r="I444" s="7"/>
      <c r="J444" s="7"/>
      <c r="K444" s="7"/>
      <c r="L444" s="7"/>
      <c r="M444" s="7"/>
      <c r="N444" s="7"/>
      <c r="O444" s="7"/>
      <c r="P444" s="7"/>
      <c r="Q444" s="7"/>
      <c r="R444" s="7"/>
      <c r="S444" s="7"/>
      <c r="T444" s="7"/>
      <c r="U444" s="7"/>
      <c r="V444" s="7"/>
      <c r="W444" s="7"/>
      <c r="X444" s="7"/>
      <c r="Y444" s="7"/>
    </row>
    <row r="445" spans="3:25" x14ac:dyDescent="0.2">
      <c r="C445" s="7"/>
      <c r="D445" s="7"/>
      <c r="E445" s="7"/>
      <c r="F445" s="7"/>
      <c r="G445" s="7"/>
      <c r="H445" s="7"/>
      <c r="I445" s="7"/>
      <c r="J445" s="7"/>
      <c r="K445" s="7"/>
      <c r="L445" s="7"/>
      <c r="M445" s="7"/>
      <c r="N445" s="7"/>
      <c r="O445" s="7"/>
      <c r="P445" s="7"/>
      <c r="Q445" s="7"/>
      <c r="R445" s="7"/>
      <c r="S445" s="7"/>
      <c r="T445" s="7"/>
      <c r="U445" s="7"/>
      <c r="V445" s="7"/>
      <c r="W445" s="7"/>
      <c r="X445" s="7"/>
      <c r="Y445" s="7"/>
    </row>
    <row r="446" spans="3:25" x14ac:dyDescent="0.2">
      <c r="C446" s="7"/>
      <c r="D446" s="7"/>
      <c r="E446" s="7"/>
      <c r="F446" s="7"/>
      <c r="G446" s="7"/>
      <c r="H446" s="7"/>
      <c r="I446" s="7"/>
      <c r="J446" s="7"/>
      <c r="K446" s="7"/>
      <c r="L446" s="7"/>
      <c r="M446" s="7"/>
      <c r="N446" s="7"/>
      <c r="O446" s="7"/>
      <c r="P446" s="7"/>
      <c r="Q446" s="7"/>
      <c r="R446" s="7"/>
      <c r="S446" s="7"/>
      <c r="T446" s="7"/>
      <c r="U446" s="7"/>
      <c r="V446" s="7"/>
      <c r="W446" s="7"/>
      <c r="X446" s="7"/>
      <c r="Y446" s="7"/>
    </row>
    <row r="447" spans="3:25" x14ac:dyDescent="0.2">
      <c r="C447" s="7"/>
      <c r="D447" s="7"/>
      <c r="E447" s="7"/>
      <c r="F447" s="7"/>
      <c r="G447" s="7"/>
      <c r="H447" s="7"/>
      <c r="I447" s="7"/>
      <c r="J447" s="7"/>
      <c r="K447" s="7"/>
      <c r="L447" s="7"/>
      <c r="M447" s="7"/>
      <c r="N447" s="7"/>
      <c r="O447" s="7"/>
      <c r="P447" s="7"/>
      <c r="Q447" s="7"/>
      <c r="R447" s="7"/>
      <c r="S447" s="7"/>
      <c r="T447" s="7"/>
      <c r="U447" s="7"/>
      <c r="V447" s="7"/>
      <c r="W447" s="7"/>
      <c r="X447" s="7"/>
      <c r="Y447" s="7"/>
    </row>
    <row r="448" spans="3:25" x14ac:dyDescent="0.2">
      <c r="C448" s="7"/>
      <c r="D448" s="7"/>
      <c r="E448" s="7"/>
      <c r="F448" s="7"/>
      <c r="G448" s="7"/>
      <c r="H448" s="7"/>
      <c r="I448" s="7"/>
      <c r="J448" s="7"/>
      <c r="K448" s="7"/>
      <c r="L448" s="7"/>
      <c r="M448" s="7"/>
      <c r="N448" s="7"/>
      <c r="O448" s="7"/>
      <c r="P448" s="7"/>
      <c r="Q448" s="7"/>
      <c r="R448" s="7"/>
      <c r="S448" s="7"/>
      <c r="T448" s="7"/>
      <c r="U448" s="7"/>
      <c r="V448" s="7"/>
      <c r="W448" s="7"/>
      <c r="X448" s="7"/>
      <c r="Y448" s="7"/>
    </row>
    <row r="449" spans="3:25" x14ac:dyDescent="0.2">
      <c r="C449" s="7"/>
      <c r="D449" s="7"/>
      <c r="E449" s="7"/>
      <c r="F449" s="7"/>
      <c r="G449" s="7"/>
      <c r="H449" s="7"/>
      <c r="I449" s="7"/>
      <c r="J449" s="7"/>
      <c r="K449" s="7"/>
      <c r="L449" s="7"/>
      <c r="M449" s="7"/>
      <c r="N449" s="7"/>
      <c r="O449" s="7"/>
      <c r="P449" s="7"/>
      <c r="Q449" s="7"/>
      <c r="R449" s="7"/>
      <c r="S449" s="7"/>
      <c r="T449" s="7"/>
      <c r="U449" s="7"/>
      <c r="V449" s="7"/>
      <c r="W449" s="7"/>
      <c r="X449" s="7"/>
      <c r="Y449" s="7"/>
    </row>
    <row r="450" spans="3:25" x14ac:dyDescent="0.2">
      <c r="C450" s="7"/>
      <c r="D450" s="7"/>
      <c r="E450" s="7"/>
      <c r="F450" s="7"/>
      <c r="G450" s="7"/>
      <c r="H450" s="7"/>
      <c r="I450" s="7"/>
      <c r="J450" s="7"/>
      <c r="K450" s="7"/>
      <c r="L450" s="7"/>
      <c r="M450" s="7"/>
      <c r="N450" s="7"/>
      <c r="O450" s="7"/>
      <c r="P450" s="7"/>
      <c r="Q450" s="7"/>
      <c r="R450" s="7"/>
      <c r="S450" s="7"/>
      <c r="T450" s="7"/>
      <c r="U450" s="7"/>
      <c r="V450" s="7"/>
      <c r="W450" s="7"/>
      <c r="X450" s="7"/>
      <c r="Y450" s="7"/>
    </row>
    <row r="451" spans="3:25" x14ac:dyDescent="0.2">
      <c r="C451" s="7"/>
      <c r="D451" s="7"/>
      <c r="E451" s="7"/>
      <c r="F451" s="7"/>
      <c r="G451" s="7"/>
      <c r="H451" s="7"/>
      <c r="I451" s="7"/>
      <c r="J451" s="7"/>
      <c r="K451" s="7"/>
      <c r="L451" s="7"/>
      <c r="M451" s="7"/>
      <c r="N451" s="7"/>
      <c r="O451" s="7"/>
      <c r="P451" s="7"/>
      <c r="Q451" s="7"/>
      <c r="R451" s="7"/>
      <c r="S451" s="7"/>
      <c r="T451" s="7"/>
      <c r="U451" s="7"/>
      <c r="V451" s="7"/>
      <c r="W451" s="7"/>
      <c r="X451" s="7"/>
      <c r="Y451" s="7"/>
    </row>
    <row r="452" spans="3:25" x14ac:dyDescent="0.2">
      <c r="C452" s="7"/>
      <c r="D452" s="7"/>
      <c r="E452" s="7"/>
      <c r="F452" s="7"/>
      <c r="G452" s="7"/>
      <c r="H452" s="7"/>
      <c r="I452" s="7"/>
      <c r="J452" s="7"/>
      <c r="K452" s="7"/>
      <c r="L452" s="7"/>
      <c r="M452" s="7"/>
      <c r="N452" s="7"/>
      <c r="O452" s="7"/>
      <c r="P452" s="7"/>
      <c r="Q452" s="7"/>
      <c r="R452" s="7"/>
      <c r="S452" s="7"/>
      <c r="T452" s="7"/>
      <c r="U452" s="7"/>
      <c r="V452" s="7"/>
      <c r="W452" s="7"/>
      <c r="X452" s="7"/>
      <c r="Y452" s="7"/>
    </row>
    <row r="453" spans="3:25" x14ac:dyDescent="0.2">
      <c r="C453" s="7"/>
      <c r="D453" s="7"/>
      <c r="E453" s="7"/>
      <c r="F453" s="7"/>
      <c r="G453" s="7"/>
      <c r="H453" s="7"/>
      <c r="I453" s="7"/>
      <c r="J453" s="7"/>
      <c r="K453" s="7"/>
      <c r="L453" s="7"/>
      <c r="M453" s="7"/>
      <c r="N453" s="7"/>
      <c r="O453" s="7"/>
      <c r="P453" s="7"/>
      <c r="Q453" s="7"/>
      <c r="R453" s="7"/>
      <c r="S453" s="7"/>
      <c r="T453" s="7"/>
      <c r="U453" s="7"/>
      <c r="V453" s="7"/>
      <c r="W453" s="7"/>
      <c r="X453" s="7"/>
      <c r="Y453" s="7"/>
    </row>
    <row r="454" spans="3:25" x14ac:dyDescent="0.2">
      <c r="C454" s="7"/>
      <c r="D454" s="7"/>
      <c r="E454" s="7"/>
      <c r="F454" s="7"/>
      <c r="G454" s="7"/>
      <c r="H454" s="7"/>
      <c r="I454" s="7"/>
      <c r="J454" s="7"/>
      <c r="K454" s="7"/>
      <c r="L454" s="7"/>
      <c r="M454" s="7"/>
      <c r="N454" s="7"/>
      <c r="O454" s="7"/>
      <c r="P454" s="7"/>
      <c r="Q454" s="7"/>
      <c r="R454" s="7"/>
      <c r="S454" s="7"/>
      <c r="T454" s="7"/>
      <c r="U454" s="7"/>
      <c r="V454" s="7"/>
      <c r="W454" s="7"/>
      <c r="X454" s="7"/>
      <c r="Y454" s="7"/>
    </row>
    <row r="455" spans="3:25" x14ac:dyDescent="0.2">
      <c r="C455" s="7"/>
      <c r="D455" s="7"/>
      <c r="E455" s="7"/>
      <c r="F455" s="7"/>
      <c r="G455" s="7"/>
      <c r="H455" s="7"/>
      <c r="I455" s="7"/>
      <c r="J455" s="7"/>
      <c r="K455" s="7"/>
      <c r="L455" s="7"/>
      <c r="M455" s="7"/>
      <c r="N455" s="7"/>
      <c r="O455" s="7"/>
      <c r="P455" s="7"/>
      <c r="Q455" s="7"/>
      <c r="R455" s="7"/>
      <c r="S455" s="7"/>
      <c r="T455" s="7"/>
      <c r="U455" s="7"/>
      <c r="V455" s="7"/>
      <c r="W455" s="7"/>
      <c r="X455" s="7"/>
      <c r="Y455" s="7"/>
    </row>
    <row r="456" spans="3:25" x14ac:dyDescent="0.2">
      <c r="C456" s="7"/>
      <c r="D456" s="7"/>
      <c r="E456" s="7"/>
      <c r="F456" s="7"/>
      <c r="G456" s="7"/>
      <c r="H456" s="7"/>
      <c r="I456" s="7"/>
      <c r="J456" s="7"/>
      <c r="K456" s="7"/>
      <c r="L456" s="7"/>
      <c r="M456" s="7"/>
      <c r="N456" s="7"/>
      <c r="O456" s="7"/>
      <c r="P456" s="7"/>
      <c r="Q456" s="7"/>
      <c r="R456" s="7"/>
      <c r="S456" s="7"/>
      <c r="T456" s="7"/>
      <c r="U456" s="7"/>
      <c r="V456" s="7"/>
      <c r="W456" s="7"/>
      <c r="X456" s="7"/>
      <c r="Y456" s="7"/>
    </row>
    <row r="457" spans="3:25" x14ac:dyDescent="0.2">
      <c r="C457" s="7"/>
      <c r="D457" s="7"/>
      <c r="E457" s="7"/>
      <c r="F457" s="7"/>
      <c r="G457" s="7"/>
      <c r="H457" s="7"/>
      <c r="I457" s="7"/>
      <c r="J457" s="7"/>
      <c r="K457" s="7"/>
      <c r="L457" s="7"/>
      <c r="M457" s="7"/>
      <c r="N457" s="7"/>
      <c r="O457" s="7"/>
      <c r="P457" s="7"/>
      <c r="Q457" s="7"/>
      <c r="R457" s="7"/>
      <c r="S457" s="7"/>
      <c r="T457" s="7"/>
      <c r="U457" s="7"/>
      <c r="V457" s="7"/>
      <c r="W457" s="7"/>
      <c r="X457" s="7"/>
      <c r="Y457" s="7"/>
    </row>
    <row r="458" spans="3:25" x14ac:dyDescent="0.2">
      <c r="C458" s="7"/>
      <c r="D458" s="7"/>
      <c r="E458" s="7"/>
      <c r="F458" s="7"/>
      <c r="G458" s="7"/>
      <c r="H458" s="7"/>
      <c r="I458" s="7"/>
      <c r="J458" s="7"/>
      <c r="K458" s="7"/>
      <c r="L458" s="7"/>
      <c r="M458" s="7"/>
      <c r="N458" s="7"/>
      <c r="O458" s="7"/>
      <c r="P458" s="7"/>
      <c r="Q458" s="7"/>
      <c r="R458" s="7"/>
      <c r="S458" s="7"/>
      <c r="T458" s="7"/>
      <c r="U458" s="7"/>
      <c r="V458" s="7"/>
      <c r="W458" s="7"/>
      <c r="X458" s="7"/>
      <c r="Y458" s="7"/>
    </row>
    <row r="459" spans="3:25" x14ac:dyDescent="0.2">
      <c r="C459" s="7"/>
      <c r="D459" s="7"/>
      <c r="E459" s="7"/>
      <c r="F459" s="7"/>
      <c r="G459" s="7"/>
      <c r="H459" s="7"/>
      <c r="I459" s="7"/>
      <c r="J459" s="7"/>
      <c r="K459" s="7"/>
      <c r="L459" s="7"/>
      <c r="M459" s="7"/>
      <c r="N459" s="7"/>
      <c r="O459" s="7"/>
      <c r="P459" s="7"/>
      <c r="Q459" s="7"/>
      <c r="R459" s="7"/>
      <c r="S459" s="7"/>
      <c r="T459" s="7"/>
      <c r="U459" s="7"/>
      <c r="V459" s="7"/>
      <c r="W459" s="7"/>
      <c r="X459" s="7"/>
      <c r="Y459" s="7"/>
    </row>
    <row r="460" spans="3:25" x14ac:dyDescent="0.2">
      <c r="C460" s="7"/>
      <c r="D460" s="7"/>
      <c r="E460" s="7"/>
      <c r="F460" s="7"/>
      <c r="G460" s="7"/>
      <c r="H460" s="7"/>
      <c r="I460" s="7"/>
      <c r="J460" s="7"/>
      <c r="K460" s="7"/>
      <c r="L460" s="7"/>
      <c r="M460" s="7"/>
      <c r="N460" s="7"/>
      <c r="O460" s="7"/>
      <c r="P460" s="7"/>
      <c r="Q460" s="7"/>
      <c r="R460" s="7"/>
      <c r="S460" s="7"/>
      <c r="T460" s="7"/>
      <c r="U460" s="7"/>
      <c r="V460" s="7"/>
      <c r="W460" s="7"/>
      <c r="X460" s="7"/>
      <c r="Y460" s="7"/>
    </row>
    <row r="461" spans="3:25" x14ac:dyDescent="0.2">
      <c r="C461" s="7"/>
      <c r="D461" s="7"/>
      <c r="E461" s="7"/>
      <c r="F461" s="7"/>
      <c r="G461" s="7"/>
      <c r="H461" s="7"/>
      <c r="I461" s="7"/>
      <c r="J461" s="7"/>
      <c r="K461" s="7"/>
      <c r="L461" s="7"/>
      <c r="M461" s="7"/>
      <c r="N461" s="7"/>
      <c r="O461" s="7"/>
      <c r="P461" s="7"/>
      <c r="Q461" s="7"/>
      <c r="R461" s="7"/>
      <c r="S461" s="7"/>
      <c r="T461" s="7"/>
      <c r="U461" s="7"/>
      <c r="V461" s="7"/>
      <c r="W461" s="7"/>
      <c r="X461" s="7"/>
      <c r="Y461" s="7"/>
    </row>
    <row r="462" spans="3:25" x14ac:dyDescent="0.2">
      <c r="C462" s="7"/>
      <c r="D462" s="7"/>
      <c r="E462" s="7"/>
      <c r="F462" s="7"/>
      <c r="G462" s="7"/>
      <c r="H462" s="7"/>
      <c r="I462" s="7"/>
      <c r="J462" s="7"/>
      <c r="K462" s="7"/>
      <c r="L462" s="7"/>
      <c r="M462" s="7"/>
      <c r="N462" s="7"/>
      <c r="O462" s="7"/>
      <c r="P462" s="7"/>
      <c r="Q462" s="7"/>
      <c r="R462" s="7"/>
      <c r="S462" s="7"/>
      <c r="T462" s="7"/>
      <c r="U462" s="7"/>
      <c r="V462" s="7"/>
      <c r="W462" s="7"/>
      <c r="X462" s="7"/>
      <c r="Y462" s="7"/>
    </row>
    <row r="463" spans="3:25" x14ac:dyDescent="0.2">
      <c r="C463" s="7"/>
      <c r="D463" s="7"/>
      <c r="E463" s="7"/>
      <c r="F463" s="7"/>
      <c r="G463" s="7"/>
      <c r="H463" s="7"/>
      <c r="I463" s="7"/>
      <c r="J463" s="7"/>
      <c r="K463" s="7"/>
      <c r="L463" s="7"/>
      <c r="M463" s="7"/>
      <c r="N463" s="7"/>
      <c r="O463" s="7"/>
      <c r="P463" s="7"/>
      <c r="Q463" s="7"/>
      <c r="R463" s="7"/>
      <c r="S463" s="7"/>
      <c r="T463" s="7"/>
      <c r="U463" s="7"/>
      <c r="V463" s="7"/>
      <c r="W463" s="7"/>
      <c r="X463" s="7"/>
      <c r="Y463" s="7"/>
    </row>
    <row r="464" spans="3:25" x14ac:dyDescent="0.2">
      <c r="C464" s="7"/>
      <c r="D464" s="7"/>
      <c r="E464" s="7"/>
      <c r="F464" s="7"/>
      <c r="G464" s="7"/>
      <c r="H464" s="7"/>
      <c r="I464" s="7"/>
      <c r="J464" s="7"/>
      <c r="K464" s="7"/>
      <c r="L464" s="7"/>
      <c r="M464" s="7"/>
      <c r="N464" s="7"/>
      <c r="O464" s="7"/>
      <c r="P464" s="7"/>
      <c r="Q464" s="7"/>
      <c r="R464" s="7"/>
      <c r="S464" s="7"/>
      <c r="T464" s="7"/>
      <c r="U464" s="7"/>
      <c r="V464" s="7"/>
      <c r="W464" s="7"/>
      <c r="X464" s="7"/>
      <c r="Y464" s="7"/>
    </row>
    <row r="465" spans="3:25" x14ac:dyDescent="0.2">
      <c r="C465" s="7"/>
      <c r="D465" s="7"/>
      <c r="E465" s="7"/>
      <c r="F465" s="7"/>
      <c r="G465" s="7"/>
      <c r="H465" s="7"/>
      <c r="I465" s="7"/>
      <c r="J465" s="7"/>
      <c r="K465" s="7"/>
      <c r="L465" s="7"/>
      <c r="M465" s="7"/>
      <c r="N465" s="7"/>
      <c r="O465" s="7"/>
      <c r="P465" s="7"/>
      <c r="Q465" s="7"/>
      <c r="R465" s="7"/>
      <c r="S465" s="7"/>
      <c r="T465" s="7"/>
      <c r="U465" s="7"/>
      <c r="V465" s="7"/>
      <c r="W465" s="7"/>
      <c r="X465" s="7"/>
      <c r="Y465" s="7"/>
    </row>
    <row r="466" spans="3:25" x14ac:dyDescent="0.2">
      <c r="C466" s="7"/>
      <c r="D466" s="7"/>
      <c r="E466" s="7"/>
      <c r="F466" s="7"/>
      <c r="G466" s="7"/>
      <c r="H466" s="7"/>
      <c r="I466" s="7"/>
      <c r="J466" s="7"/>
      <c r="K466" s="7"/>
      <c r="L466" s="7"/>
      <c r="M466" s="7"/>
      <c r="N466" s="7"/>
      <c r="O466" s="7"/>
      <c r="P466" s="7"/>
      <c r="Q466" s="7"/>
      <c r="R466" s="7"/>
      <c r="S466" s="7"/>
      <c r="T466" s="7"/>
      <c r="U466" s="7"/>
      <c r="V466" s="7"/>
      <c r="W466" s="7"/>
      <c r="X466" s="7"/>
      <c r="Y466" s="7"/>
    </row>
    <row r="467" spans="3:25" x14ac:dyDescent="0.2">
      <c r="C467" s="7"/>
      <c r="D467" s="7"/>
      <c r="E467" s="7"/>
      <c r="F467" s="7"/>
      <c r="G467" s="7"/>
      <c r="H467" s="7"/>
      <c r="I467" s="7"/>
      <c r="J467" s="7"/>
      <c r="K467" s="7"/>
      <c r="L467" s="7"/>
      <c r="M467" s="7"/>
      <c r="N467" s="7"/>
      <c r="O467" s="7"/>
      <c r="P467" s="7"/>
      <c r="Q467" s="7"/>
      <c r="R467" s="7"/>
      <c r="S467" s="7"/>
      <c r="T467" s="7"/>
      <c r="U467" s="7"/>
      <c r="V467" s="7"/>
      <c r="W467" s="7"/>
      <c r="X467" s="7"/>
      <c r="Y467" s="7"/>
    </row>
    <row r="468" spans="3:25" x14ac:dyDescent="0.2">
      <c r="C468" s="7"/>
      <c r="D468" s="7"/>
      <c r="E468" s="7"/>
      <c r="F468" s="7"/>
      <c r="G468" s="7"/>
      <c r="H468" s="7"/>
      <c r="I468" s="7"/>
      <c r="J468" s="7"/>
      <c r="K468" s="7"/>
      <c r="L468" s="7"/>
      <c r="M468" s="7"/>
      <c r="N468" s="7"/>
      <c r="O468" s="7"/>
      <c r="P468" s="7"/>
      <c r="Q468" s="7"/>
      <c r="R468" s="7"/>
      <c r="S468" s="7"/>
      <c r="T468" s="7"/>
      <c r="U468" s="7"/>
      <c r="V468" s="7"/>
      <c r="W468" s="7"/>
      <c r="X468" s="7"/>
      <c r="Y468" s="7"/>
    </row>
    <row r="469" spans="3:25" x14ac:dyDescent="0.2">
      <c r="C469" s="7"/>
      <c r="D469" s="7"/>
      <c r="E469" s="7"/>
      <c r="F469" s="7"/>
      <c r="G469" s="7"/>
      <c r="H469" s="7"/>
      <c r="I469" s="7"/>
      <c r="J469" s="7"/>
      <c r="K469" s="7"/>
      <c r="L469" s="7"/>
      <c r="M469" s="7"/>
      <c r="N469" s="7"/>
      <c r="O469" s="7"/>
      <c r="P469" s="7"/>
      <c r="Q469" s="7"/>
      <c r="R469" s="7"/>
      <c r="S469" s="7"/>
      <c r="T469" s="7"/>
      <c r="U469" s="7"/>
      <c r="V469" s="7"/>
      <c r="W469" s="7"/>
      <c r="X469" s="7"/>
      <c r="Y469" s="7"/>
    </row>
    <row r="470" spans="3:25" x14ac:dyDescent="0.2">
      <c r="C470" s="7"/>
      <c r="D470" s="7"/>
      <c r="E470" s="7"/>
      <c r="F470" s="7"/>
      <c r="G470" s="7"/>
      <c r="H470" s="7"/>
      <c r="I470" s="7"/>
      <c r="J470" s="7"/>
      <c r="K470" s="7"/>
      <c r="L470" s="7"/>
      <c r="M470" s="7"/>
      <c r="N470" s="7"/>
      <c r="O470" s="7"/>
      <c r="P470" s="7"/>
      <c r="Q470" s="7"/>
      <c r="R470" s="7"/>
      <c r="S470" s="7"/>
      <c r="T470" s="7"/>
      <c r="U470" s="7"/>
      <c r="V470" s="7"/>
      <c r="W470" s="7"/>
      <c r="X470" s="7"/>
      <c r="Y470" s="7"/>
    </row>
    <row r="471" spans="3:25" x14ac:dyDescent="0.2">
      <c r="C471" s="7"/>
      <c r="D471" s="7"/>
      <c r="E471" s="7"/>
      <c r="F471" s="7"/>
      <c r="G471" s="7"/>
      <c r="H471" s="7"/>
      <c r="I471" s="7"/>
      <c r="J471" s="7"/>
      <c r="K471" s="7"/>
      <c r="L471" s="7"/>
      <c r="M471" s="7"/>
      <c r="N471" s="7"/>
      <c r="O471" s="7"/>
      <c r="P471" s="7"/>
      <c r="Q471" s="7"/>
      <c r="R471" s="7"/>
      <c r="S471" s="7"/>
      <c r="T471" s="7"/>
      <c r="U471" s="7"/>
      <c r="V471" s="7"/>
      <c r="W471" s="7"/>
      <c r="X471" s="7"/>
      <c r="Y471" s="7"/>
    </row>
    <row r="472" spans="3:25" x14ac:dyDescent="0.2">
      <c r="C472" s="7"/>
      <c r="D472" s="7"/>
      <c r="E472" s="7"/>
      <c r="F472" s="7"/>
      <c r="G472" s="7"/>
      <c r="H472" s="7"/>
      <c r="I472" s="7"/>
      <c r="J472" s="7"/>
      <c r="K472" s="7"/>
      <c r="L472" s="7"/>
      <c r="M472" s="7"/>
      <c r="N472" s="7"/>
      <c r="O472" s="7"/>
      <c r="P472" s="7"/>
      <c r="Q472" s="7"/>
      <c r="R472" s="7"/>
      <c r="S472" s="7"/>
      <c r="T472" s="7"/>
      <c r="U472" s="7"/>
      <c r="V472" s="7"/>
      <c r="W472" s="7"/>
      <c r="X472" s="7"/>
      <c r="Y472" s="7"/>
    </row>
    <row r="473" spans="3:25" x14ac:dyDescent="0.2">
      <c r="C473" s="7"/>
      <c r="D473" s="7"/>
      <c r="E473" s="7"/>
      <c r="F473" s="7"/>
      <c r="G473" s="7"/>
      <c r="H473" s="7"/>
      <c r="I473" s="7"/>
      <c r="J473" s="7"/>
      <c r="K473" s="7"/>
      <c r="L473" s="7"/>
      <c r="M473" s="7"/>
      <c r="N473" s="7"/>
      <c r="O473" s="7"/>
      <c r="P473" s="7"/>
      <c r="Q473" s="7"/>
      <c r="R473" s="7"/>
      <c r="S473" s="7"/>
      <c r="T473" s="7"/>
      <c r="U473" s="7"/>
      <c r="V473" s="7"/>
      <c r="W473" s="7"/>
      <c r="X473" s="7"/>
      <c r="Y473" s="7"/>
    </row>
    <row r="474" spans="3:25" x14ac:dyDescent="0.2">
      <c r="C474" s="7"/>
      <c r="D474" s="7"/>
      <c r="E474" s="7"/>
      <c r="F474" s="7"/>
      <c r="G474" s="7"/>
      <c r="H474" s="7"/>
      <c r="I474" s="7"/>
      <c r="J474" s="7"/>
      <c r="K474" s="7"/>
      <c r="L474" s="7"/>
      <c r="M474" s="7"/>
      <c r="N474" s="7"/>
      <c r="O474" s="7"/>
      <c r="P474" s="7"/>
      <c r="Q474" s="7"/>
      <c r="R474" s="7"/>
      <c r="S474" s="7"/>
      <c r="T474" s="7"/>
      <c r="U474" s="7"/>
      <c r="V474" s="7"/>
      <c r="W474" s="7"/>
      <c r="X474" s="7"/>
      <c r="Y474" s="7"/>
    </row>
    <row r="475" spans="3:25" x14ac:dyDescent="0.2">
      <c r="C475" s="7"/>
      <c r="D475" s="7"/>
      <c r="E475" s="7"/>
      <c r="F475" s="7"/>
      <c r="G475" s="7"/>
      <c r="H475" s="7"/>
      <c r="I475" s="7"/>
      <c r="J475" s="7"/>
      <c r="K475" s="7"/>
      <c r="L475" s="7"/>
      <c r="M475" s="7"/>
      <c r="N475" s="7"/>
      <c r="O475" s="7"/>
      <c r="P475" s="7"/>
      <c r="Q475" s="7"/>
      <c r="R475" s="7"/>
      <c r="S475" s="7"/>
      <c r="T475" s="7"/>
      <c r="U475" s="7"/>
      <c r="V475" s="7"/>
      <c r="W475" s="7"/>
      <c r="X475" s="7"/>
      <c r="Y475" s="7"/>
    </row>
    <row r="476" spans="3:25" x14ac:dyDescent="0.2">
      <c r="C476" s="7"/>
      <c r="D476" s="7"/>
      <c r="E476" s="7"/>
      <c r="F476" s="7"/>
      <c r="G476" s="7"/>
      <c r="H476" s="7"/>
      <c r="I476" s="7"/>
      <c r="J476" s="7"/>
      <c r="K476" s="7"/>
      <c r="L476" s="7"/>
      <c r="M476" s="7"/>
      <c r="N476" s="7"/>
      <c r="O476" s="7"/>
      <c r="P476" s="7"/>
      <c r="Q476" s="7"/>
      <c r="R476" s="7"/>
      <c r="S476" s="7"/>
      <c r="T476" s="7"/>
      <c r="U476" s="7"/>
      <c r="V476" s="7"/>
      <c r="W476" s="7"/>
      <c r="X476" s="7"/>
      <c r="Y476" s="7"/>
    </row>
    <row r="477" spans="3:25" x14ac:dyDescent="0.2">
      <c r="C477" s="7"/>
      <c r="D477" s="7"/>
      <c r="E477" s="7"/>
      <c r="F477" s="7"/>
      <c r="G477" s="7"/>
      <c r="H477" s="7"/>
      <c r="I477" s="7"/>
      <c r="J477" s="7"/>
      <c r="K477" s="7"/>
      <c r="L477" s="7"/>
      <c r="M477" s="7"/>
      <c r="N477" s="7"/>
      <c r="O477" s="7"/>
      <c r="P477" s="7"/>
      <c r="Q477" s="7"/>
      <c r="R477" s="7"/>
      <c r="S477" s="7"/>
      <c r="T477" s="7"/>
      <c r="U477" s="7"/>
      <c r="V477" s="7"/>
      <c r="W477" s="7"/>
      <c r="X477" s="7"/>
      <c r="Y477" s="7"/>
    </row>
    <row r="478" spans="3:25" x14ac:dyDescent="0.2">
      <c r="C478" s="7"/>
      <c r="D478" s="7"/>
      <c r="E478" s="7"/>
      <c r="F478" s="7"/>
      <c r="G478" s="7"/>
      <c r="H478" s="7"/>
      <c r="I478" s="7"/>
      <c r="J478" s="7"/>
      <c r="K478" s="7"/>
      <c r="L478" s="7"/>
      <c r="M478" s="7"/>
      <c r="N478" s="7"/>
      <c r="O478" s="7"/>
      <c r="P478" s="7"/>
      <c r="Q478" s="7"/>
      <c r="R478" s="7"/>
      <c r="S478" s="7"/>
      <c r="T478" s="7"/>
      <c r="U478" s="7"/>
      <c r="V478" s="7"/>
      <c r="W478" s="7"/>
      <c r="X478" s="7"/>
      <c r="Y478" s="7"/>
    </row>
    <row r="479" spans="3:25" x14ac:dyDescent="0.2">
      <c r="C479" s="7"/>
      <c r="D479" s="7"/>
      <c r="E479" s="7"/>
      <c r="F479" s="7"/>
      <c r="G479" s="7"/>
      <c r="H479" s="7"/>
      <c r="I479" s="7"/>
      <c r="J479" s="7"/>
      <c r="K479" s="7"/>
      <c r="L479" s="7"/>
      <c r="M479" s="7"/>
      <c r="N479" s="7"/>
      <c r="O479" s="7"/>
      <c r="P479" s="7"/>
      <c r="Q479" s="7"/>
      <c r="R479" s="7"/>
      <c r="S479" s="7"/>
      <c r="T479" s="7"/>
      <c r="U479" s="7"/>
      <c r="V479" s="7"/>
      <c r="W479" s="7"/>
      <c r="X479" s="7"/>
      <c r="Y479" s="7"/>
    </row>
    <row r="480" spans="3:25" x14ac:dyDescent="0.2">
      <c r="C480" s="7"/>
      <c r="D480" s="7"/>
      <c r="E480" s="7"/>
      <c r="F480" s="7"/>
      <c r="G480" s="7"/>
      <c r="H480" s="7"/>
      <c r="I480" s="7"/>
      <c r="J480" s="7"/>
      <c r="K480" s="7"/>
      <c r="L480" s="7"/>
      <c r="M480" s="7"/>
      <c r="N480" s="7"/>
      <c r="O480" s="7"/>
      <c r="P480" s="7"/>
      <c r="Q480" s="7"/>
      <c r="R480" s="7"/>
      <c r="S480" s="7"/>
      <c r="T480" s="7"/>
      <c r="U480" s="7"/>
      <c r="V480" s="7"/>
      <c r="W480" s="7"/>
      <c r="X480" s="7"/>
      <c r="Y480" s="7"/>
    </row>
    <row r="481" spans="3:25" x14ac:dyDescent="0.2">
      <c r="C481" s="7"/>
      <c r="D481" s="7"/>
      <c r="E481" s="7"/>
      <c r="F481" s="7"/>
      <c r="G481" s="7"/>
      <c r="H481" s="7"/>
      <c r="I481" s="7"/>
      <c r="J481" s="7"/>
      <c r="K481" s="7"/>
      <c r="L481" s="7"/>
      <c r="M481" s="7"/>
      <c r="N481" s="7"/>
      <c r="O481" s="7"/>
      <c r="P481" s="7"/>
      <c r="Q481" s="7"/>
      <c r="R481" s="7"/>
      <c r="S481" s="7"/>
      <c r="T481" s="7"/>
      <c r="U481" s="7"/>
      <c r="V481" s="7"/>
      <c r="W481" s="7"/>
      <c r="X481" s="7"/>
      <c r="Y481" s="7"/>
    </row>
    <row r="482" spans="3:25" x14ac:dyDescent="0.2">
      <c r="C482" s="7"/>
      <c r="D482" s="7"/>
      <c r="E482" s="7"/>
      <c r="F482" s="7"/>
      <c r="G482" s="7"/>
      <c r="H482" s="7"/>
      <c r="I482" s="7"/>
      <c r="J482" s="7"/>
      <c r="K482" s="7"/>
      <c r="L482" s="7"/>
      <c r="M482" s="7"/>
      <c r="N482" s="7"/>
      <c r="O482" s="7"/>
      <c r="P482" s="7"/>
      <c r="Q482" s="7"/>
      <c r="R482" s="7"/>
      <c r="S482" s="7"/>
      <c r="T482" s="7"/>
      <c r="U482" s="7"/>
      <c r="V482" s="7"/>
      <c r="W482" s="7"/>
      <c r="X482" s="7"/>
      <c r="Y482" s="7"/>
    </row>
    <row r="483" spans="3:25" x14ac:dyDescent="0.2">
      <c r="C483" s="7"/>
      <c r="D483" s="7"/>
      <c r="E483" s="7"/>
      <c r="F483" s="7"/>
      <c r="G483" s="7"/>
      <c r="H483" s="7"/>
      <c r="I483" s="7"/>
      <c r="J483" s="7"/>
      <c r="K483" s="7"/>
      <c r="L483" s="7"/>
      <c r="M483" s="7"/>
      <c r="N483" s="7"/>
      <c r="O483" s="7"/>
      <c r="P483" s="7"/>
      <c r="Q483" s="7"/>
      <c r="R483" s="7"/>
      <c r="S483" s="7"/>
      <c r="T483" s="7"/>
      <c r="U483" s="7"/>
      <c r="V483" s="7"/>
      <c r="W483" s="7"/>
      <c r="X483" s="7"/>
      <c r="Y483" s="7"/>
    </row>
    <row r="484" spans="3:25" x14ac:dyDescent="0.2">
      <c r="C484" s="7"/>
      <c r="D484" s="7"/>
      <c r="E484" s="7"/>
      <c r="F484" s="7"/>
      <c r="G484" s="7"/>
      <c r="H484" s="7"/>
      <c r="I484" s="7"/>
      <c r="J484" s="7"/>
      <c r="K484" s="7"/>
      <c r="L484" s="7"/>
      <c r="M484" s="7"/>
      <c r="N484" s="7"/>
      <c r="O484" s="7"/>
      <c r="P484" s="7"/>
      <c r="Q484" s="7"/>
      <c r="R484" s="7"/>
      <c r="S484" s="7"/>
      <c r="T484" s="7"/>
      <c r="U484" s="7"/>
      <c r="V484" s="7"/>
      <c r="W484" s="7"/>
      <c r="X484" s="7"/>
      <c r="Y484" s="7"/>
    </row>
    <row r="485" spans="3:25" x14ac:dyDescent="0.2">
      <c r="C485" s="7"/>
      <c r="D485" s="7"/>
      <c r="E485" s="7"/>
      <c r="F485" s="7"/>
      <c r="G485" s="7"/>
      <c r="H485" s="7"/>
      <c r="I485" s="7"/>
      <c r="J485" s="7"/>
      <c r="K485" s="7"/>
      <c r="L485" s="7"/>
      <c r="M485" s="7"/>
      <c r="N485" s="7"/>
      <c r="O485" s="7"/>
      <c r="P485" s="7"/>
      <c r="Q485" s="7"/>
      <c r="R485" s="7"/>
      <c r="S485" s="7"/>
      <c r="T485" s="7"/>
      <c r="U485" s="7"/>
      <c r="V485" s="7"/>
      <c r="W485" s="7"/>
      <c r="X485" s="7"/>
      <c r="Y485" s="7"/>
    </row>
    <row r="486" spans="3:25" x14ac:dyDescent="0.2">
      <c r="C486" s="7"/>
      <c r="D486" s="7"/>
      <c r="E486" s="7"/>
      <c r="F486" s="7"/>
      <c r="G486" s="7"/>
      <c r="H486" s="7"/>
      <c r="I486" s="7"/>
      <c r="J486" s="7"/>
      <c r="K486" s="7"/>
      <c r="L486" s="7"/>
      <c r="M486" s="7"/>
      <c r="N486" s="7"/>
      <c r="O486" s="7"/>
      <c r="P486" s="7"/>
      <c r="Q486" s="7"/>
      <c r="R486" s="7"/>
      <c r="S486" s="7"/>
      <c r="T486" s="7"/>
      <c r="U486" s="7"/>
      <c r="V486" s="7"/>
      <c r="W486" s="7"/>
      <c r="X486" s="7"/>
      <c r="Y486" s="7"/>
    </row>
    <row r="487" spans="3:25" x14ac:dyDescent="0.2">
      <c r="C487" s="7"/>
      <c r="D487" s="7"/>
      <c r="E487" s="7"/>
      <c r="F487" s="7"/>
      <c r="G487" s="7"/>
      <c r="H487" s="7"/>
      <c r="I487" s="7"/>
      <c r="J487" s="7"/>
      <c r="K487" s="7"/>
      <c r="L487" s="7"/>
      <c r="M487" s="7"/>
      <c r="N487" s="7"/>
      <c r="O487" s="7"/>
      <c r="P487" s="7"/>
      <c r="Q487" s="7"/>
      <c r="R487" s="7"/>
      <c r="S487" s="7"/>
      <c r="T487" s="7"/>
      <c r="U487" s="7"/>
      <c r="V487" s="7"/>
      <c r="W487" s="7"/>
      <c r="X487" s="7"/>
      <c r="Y487" s="7"/>
    </row>
    <row r="488" spans="3:25" x14ac:dyDescent="0.2">
      <c r="C488" s="7"/>
      <c r="D488" s="7"/>
      <c r="E488" s="7"/>
      <c r="F488" s="7"/>
      <c r="G488" s="7"/>
      <c r="H488" s="7"/>
      <c r="I488" s="7"/>
      <c r="J488" s="7"/>
      <c r="K488" s="7"/>
      <c r="L488" s="7"/>
      <c r="M488" s="7"/>
      <c r="N488" s="7"/>
      <c r="O488" s="7"/>
      <c r="P488" s="7"/>
      <c r="Q488" s="7"/>
      <c r="R488" s="7"/>
      <c r="S488" s="7"/>
      <c r="T488" s="7"/>
      <c r="U488" s="7"/>
      <c r="V488" s="7"/>
      <c r="W488" s="7"/>
      <c r="X488" s="7"/>
      <c r="Y488" s="7"/>
    </row>
    <row r="489" spans="3:25" x14ac:dyDescent="0.2">
      <c r="C489" s="7"/>
      <c r="D489" s="7"/>
      <c r="E489" s="7"/>
      <c r="F489" s="7"/>
      <c r="G489" s="7"/>
      <c r="H489" s="7"/>
      <c r="I489" s="7"/>
      <c r="J489" s="7"/>
      <c r="K489" s="7"/>
      <c r="L489" s="7"/>
      <c r="M489" s="7"/>
      <c r="N489" s="7"/>
      <c r="O489" s="7"/>
      <c r="P489" s="7"/>
      <c r="Q489" s="7"/>
      <c r="R489" s="7"/>
      <c r="S489" s="7"/>
      <c r="T489" s="7"/>
      <c r="U489" s="7"/>
      <c r="V489" s="7"/>
      <c r="W489" s="7"/>
      <c r="X489" s="7"/>
      <c r="Y489" s="7"/>
    </row>
    <row r="490" spans="3:25" x14ac:dyDescent="0.2">
      <c r="C490" s="7"/>
      <c r="D490" s="7"/>
      <c r="E490" s="7"/>
      <c r="F490" s="7"/>
      <c r="G490" s="7"/>
      <c r="H490" s="7"/>
      <c r="I490" s="7"/>
      <c r="J490" s="7"/>
      <c r="K490" s="7"/>
      <c r="L490" s="7"/>
      <c r="M490" s="7"/>
      <c r="N490" s="7"/>
      <c r="O490" s="7"/>
      <c r="P490" s="7"/>
      <c r="Q490" s="7"/>
      <c r="R490" s="7"/>
      <c r="S490" s="7"/>
      <c r="T490" s="7"/>
      <c r="U490" s="7"/>
      <c r="V490" s="7"/>
      <c r="W490" s="7"/>
      <c r="X490" s="7"/>
      <c r="Y490" s="7"/>
    </row>
    <row r="491" spans="3:25" x14ac:dyDescent="0.2">
      <c r="C491" s="7"/>
      <c r="D491" s="7"/>
      <c r="E491" s="7"/>
      <c r="F491" s="7"/>
      <c r="G491" s="7"/>
      <c r="H491" s="7"/>
      <c r="I491" s="7"/>
      <c r="J491" s="7"/>
      <c r="K491" s="7"/>
      <c r="L491" s="7"/>
      <c r="M491" s="7"/>
      <c r="N491" s="7"/>
      <c r="O491" s="7"/>
      <c r="P491" s="7"/>
      <c r="Q491" s="7"/>
      <c r="R491" s="7"/>
      <c r="S491" s="7"/>
      <c r="T491" s="7"/>
      <c r="U491" s="7"/>
      <c r="V491" s="7"/>
      <c r="W491" s="7"/>
      <c r="X491" s="7"/>
      <c r="Y491" s="7"/>
    </row>
    <row r="492" spans="3:25" x14ac:dyDescent="0.2">
      <c r="C492" s="7"/>
      <c r="D492" s="7"/>
      <c r="E492" s="7"/>
      <c r="F492" s="7"/>
      <c r="G492" s="7"/>
      <c r="H492" s="7"/>
      <c r="I492" s="7"/>
      <c r="J492" s="7"/>
      <c r="K492" s="7"/>
      <c r="L492" s="7"/>
      <c r="M492" s="7"/>
      <c r="N492" s="7"/>
      <c r="O492" s="7"/>
      <c r="P492" s="7"/>
      <c r="Q492" s="7"/>
      <c r="R492" s="7"/>
      <c r="S492" s="7"/>
      <c r="T492" s="7"/>
      <c r="U492" s="7"/>
      <c r="V492" s="7"/>
      <c r="W492" s="7"/>
      <c r="X492" s="7"/>
      <c r="Y492" s="7"/>
    </row>
    <row r="493" spans="3:25" x14ac:dyDescent="0.2">
      <c r="C493" s="7"/>
      <c r="D493" s="7"/>
      <c r="E493" s="7"/>
      <c r="F493" s="7"/>
      <c r="G493" s="7"/>
      <c r="H493" s="7"/>
      <c r="I493" s="7"/>
      <c r="J493" s="7"/>
      <c r="K493" s="7"/>
      <c r="L493" s="7"/>
      <c r="M493" s="7"/>
      <c r="N493" s="7"/>
      <c r="O493" s="7"/>
      <c r="P493" s="7"/>
      <c r="Q493" s="7"/>
      <c r="R493" s="7"/>
      <c r="S493" s="7"/>
      <c r="T493" s="7"/>
      <c r="U493" s="7"/>
      <c r="V493" s="7"/>
      <c r="W493" s="7"/>
      <c r="X493" s="7"/>
      <c r="Y493" s="7"/>
    </row>
    <row r="494" spans="3:25" x14ac:dyDescent="0.2">
      <c r="C494" s="7"/>
      <c r="D494" s="7"/>
      <c r="E494" s="7"/>
      <c r="F494" s="7"/>
      <c r="G494" s="7"/>
      <c r="H494" s="7"/>
      <c r="I494" s="7"/>
      <c r="J494" s="7"/>
      <c r="K494" s="7"/>
      <c r="L494" s="7"/>
      <c r="M494" s="7"/>
      <c r="N494" s="7"/>
      <c r="O494" s="7"/>
      <c r="P494" s="7"/>
      <c r="Q494" s="7"/>
      <c r="R494" s="7"/>
      <c r="S494" s="7"/>
      <c r="T494" s="7"/>
      <c r="U494" s="7"/>
      <c r="V494" s="7"/>
      <c r="W494" s="7"/>
      <c r="X494" s="7"/>
      <c r="Y494" s="7"/>
    </row>
    <row r="495" spans="3:25" x14ac:dyDescent="0.2">
      <c r="C495" s="7"/>
      <c r="D495" s="7"/>
      <c r="E495" s="7"/>
      <c r="F495" s="7"/>
      <c r="G495" s="7"/>
      <c r="H495" s="7"/>
      <c r="I495" s="7"/>
      <c r="J495" s="7"/>
      <c r="K495" s="7"/>
      <c r="L495" s="7"/>
      <c r="M495" s="7"/>
      <c r="N495" s="7"/>
      <c r="O495" s="7"/>
      <c r="P495" s="7"/>
      <c r="Q495" s="7"/>
      <c r="R495" s="7"/>
      <c r="S495" s="7"/>
      <c r="T495" s="7"/>
      <c r="U495" s="7"/>
      <c r="V495" s="7"/>
      <c r="W495" s="7"/>
      <c r="X495" s="7"/>
      <c r="Y495" s="7"/>
    </row>
    <row r="496" spans="3:25" x14ac:dyDescent="0.2">
      <c r="C496" s="7"/>
      <c r="D496" s="7"/>
      <c r="E496" s="7"/>
      <c r="F496" s="7"/>
      <c r="G496" s="7"/>
      <c r="H496" s="7"/>
      <c r="I496" s="7"/>
      <c r="J496" s="7"/>
      <c r="K496" s="7"/>
      <c r="L496" s="7"/>
      <c r="M496" s="7"/>
      <c r="N496" s="7"/>
      <c r="O496" s="7"/>
      <c r="P496" s="7"/>
      <c r="Q496" s="7"/>
      <c r="R496" s="7"/>
      <c r="S496" s="7"/>
      <c r="T496" s="7"/>
      <c r="U496" s="7"/>
      <c r="V496" s="7"/>
      <c r="W496" s="7"/>
      <c r="X496" s="7"/>
      <c r="Y496" s="7"/>
    </row>
    <row r="497" spans="3:25" x14ac:dyDescent="0.2">
      <c r="C497" s="7"/>
      <c r="D497" s="7"/>
      <c r="E497" s="7"/>
      <c r="F497" s="7"/>
      <c r="G497" s="7"/>
      <c r="H497" s="7"/>
      <c r="I497" s="7"/>
      <c r="J497" s="7"/>
      <c r="K497" s="7"/>
      <c r="L497" s="7"/>
      <c r="M497" s="7"/>
      <c r="N497" s="7"/>
      <c r="O497" s="7"/>
      <c r="P497" s="7"/>
      <c r="Q497" s="7"/>
      <c r="R497" s="7"/>
      <c r="S497" s="7"/>
      <c r="T497" s="7"/>
      <c r="U497" s="7"/>
      <c r="V497" s="7"/>
      <c r="W497" s="7"/>
      <c r="X497" s="7"/>
      <c r="Y497" s="7"/>
    </row>
    <row r="498" spans="3:25" x14ac:dyDescent="0.2">
      <c r="C498" s="7"/>
      <c r="D498" s="7"/>
      <c r="E498" s="7"/>
      <c r="F498" s="7"/>
      <c r="G498" s="7"/>
      <c r="H498" s="7"/>
      <c r="I498" s="7"/>
      <c r="J498" s="7"/>
      <c r="K498" s="7"/>
      <c r="L498" s="7"/>
      <c r="M498" s="7"/>
      <c r="N498" s="7"/>
      <c r="O498" s="7"/>
      <c r="P498" s="7"/>
      <c r="Q498" s="7"/>
      <c r="R498" s="7"/>
      <c r="S498" s="7"/>
      <c r="T498" s="7"/>
      <c r="U498" s="7"/>
      <c r="V498" s="7"/>
      <c r="W498" s="7"/>
      <c r="X498" s="7"/>
      <c r="Y498" s="7"/>
    </row>
    <row r="499" spans="3:25" x14ac:dyDescent="0.2">
      <c r="C499" s="7"/>
      <c r="D499" s="7"/>
      <c r="E499" s="7"/>
      <c r="F499" s="7"/>
      <c r="G499" s="7"/>
      <c r="H499" s="7"/>
      <c r="I499" s="7"/>
      <c r="J499" s="7"/>
      <c r="K499" s="7"/>
      <c r="L499" s="7"/>
      <c r="M499" s="7"/>
      <c r="N499" s="7"/>
      <c r="O499" s="7"/>
      <c r="P499" s="7"/>
      <c r="Q499" s="7"/>
      <c r="R499" s="7"/>
      <c r="S499" s="7"/>
      <c r="T499" s="7"/>
      <c r="U499" s="7"/>
      <c r="V499" s="7"/>
      <c r="W499" s="7"/>
      <c r="X499" s="7"/>
      <c r="Y499" s="7"/>
    </row>
    <row r="500" spans="3:25" x14ac:dyDescent="0.2">
      <c r="C500" s="7"/>
      <c r="D500" s="7"/>
      <c r="E500" s="7"/>
      <c r="F500" s="7"/>
      <c r="G500" s="7"/>
      <c r="H500" s="7"/>
      <c r="I500" s="7"/>
      <c r="J500" s="7"/>
      <c r="K500" s="7"/>
      <c r="L500" s="7"/>
      <c r="M500" s="7"/>
      <c r="N500" s="7"/>
      <c r="O500" s="7"/>
      <c r="P500" s="7"/>
      <c r="Q500" s="7"/>
      <c r="R500" s="7"/>
      <c r="S500" s="7"/>
      <c r="T500" s="7"/>
      <c r="U500" s="7"/>
      <c r="V500" s="7"/>
      <c r="W500" s="7"/>
      <c r="X500" s="7"/>
      <c r="Y500" s="7"/>
    </row>
    <row r="501" spans="3:25" x14ac:dyDescent="0.2">
      <c r="C501" s="7"/>
      <c r="D501" s="7"/>
      <c r="E501" s="7"/>
      <c r="F501" s="7"/>
      <c r="G501" s="7"/>
      <c r="H501" s="7"/>
      <c r="I501" s="7"/>
      <c r="J501" s="7"/>
      <c r="K501" s="7"/>
      <c r="L501" s="7"/>
      <c r="M501" s="7"/>
      <c r="N501" s="7"/>
      <c r="O501" s="7"/>
      <c r="P501" s="7"/>
      <c r="Q501" s="7"/>
      <c r="R501" s="7"/>
      <c r="S501" s="7"/>
      <c r="T501" s="7"/>
      <c r="U501" s="7"/>
      <c r="V501" s="7"/>
      <c r="W501" s="7"/>
      <c r="X501" s="7"/>
      <c r="Y501" s="7"/>
    </row>
    <row r="502" spans="3:25" x14ac:dyDescent="0.2">
      <c r="C502" s="7"/>
      <c r="D502" s="7"/>
      <c r="E502" s="7"/>
      <c r="F502" s="7"/>
      <c r="G502" s="7"/>
      <c r="H502" s="7"/>
      <c r="I502" s="7"/>
      <c r="J502" s="7"/>
      <c r="K502" s="7"/>
      <c r="L502" s="7"/>
      <c r="M502" s="7"/>
      <c r="N502" s="7"/>
      <c r="O502" s="7"/>
      <c r="P502" s="7"/>
      <c r="Q502" s="7"/>
      <c r="R502" s="7"/>
      <c r="S502" s="7"/>
      <c r="T502" s="7"/>
      <c r="U502" s="7"/>
      <c r="V502" s="7"/>
      <c r="W502" s="7"/>
      <c r="X502" s="7"/>
      <c r="Y502" s="7"/>
    </row>
    <row r="503" spans="3:25" x14ac:dyDescent="0.2">
      <c r="C503" s="7"/>
      <c r="D503" s="7"/>
      <c r="E503" s="7"/>
      <c r="F503" s="7"/>
      <c r="G503" s="7"/>
      <c r="H503" s="7"/>
      <c r="I503" s="7"/>
      <c r="J503" s="7"/>
      <c r="K503" s="7"/>
      <c r="L503" s="7"/>
      <c r="M503" s="7"/>
      <c r="N503" s="7"/>
      <c r="O503" s="7"/>
      <c r="P503" s="7"/>
      <c r="Q503" s="7"/>
      <c r="R503" s="7"/>
      <c r="S503" s="7"/>
      <c r="T503" s="7"/>
      <c r="U503" s="7"/>
      <c r="V503" s="7"/>
      <c r="W503" s="7"/>
      <c r="X503" s="7"/>
      <c r="Y503" s="7"/>
    </row>
    <row r="504" spans="3:25" x14ac:dyDescent="0.2">
      <c r="C504" s="7"/>
      <c r="D504" s="7"/>
      <c r="E504" s="7"/>
      <c r="F504" s="7"/>
      <c r="G504" s="7"/>
      <c r="H504" s="7"/>
      <c r="I504" s="7"/>
      <c r="J504" s="7"/>
      <c r="K504" s="7"/>
      <c r="L504" s="7"/>
      <c r="M504" s="7"/>
      <c r="N504" s="7"/>
      <c r="O504" s="7"/>
      <c r="P504" s="7"/>
      <c r="Q504" s="7"/>
      <c r="R504" s="7"/>
      <c r="S504" s="7"/>
      <c r="T504" s="7"/>
      <c r="U504" s="7"/>
      <c r="V504" s="7"/>
      <c r="W504" s="7"/>
      <c r="X504" s="7"/>
      <c r="Y504" s="7"/>
    </row>
    <row r="505" spans="3:25" x14ac:dyDescent="0.2">
      <c r="C505" s="7"/>
      <c r="D505" s="7"/>
      <c r="E505" s="7"/>
      <c r="F505" s="7"/>
      <c r="G505" s="7"/>
      <c r="H505" s="7"/>
      <c r="I505" s="7"/>
      <c r="J505" s="7"/>
      <c r="K505" s="7"/>
      <c r="L505" s="7"/>
      <c r="M505" s="7"/>
      <c r="N505" s="7"/>
      <c r="O505" s="7"/>
      <c r="P505" s="7"/>
      <c r="Q505" s="7"/>
      <c r="R505" s="7"/>
      <c r="S505" s="7"/>
      <c r="T505" s="7"/>
      <c r="U505" s="7"/>
      <c r="V505" s="7"/>
      <c r="W505" s="7"/>
      <c r="X505" s="7"/>
      <c r="Y505" s="7"/>
    </row>
    <row r="506" spans="3:25" x14ac:dyDescent="0.2">
      <c r="C506" s="7"/>
      <c r="D506" s="7"/>
      <c r="E506" s="7"/>
      <c r="F506" s="7"/>
      <c r="G506" s="7"/>
      <c r="H506" s="7"/>
      <c r="I506" s="7"/>
      <c r="J506" s="7"/>
      <c r="K506" s="7"/>
      <c r="L506" s="7"/>
      <c r="M506" s="7"/>
      <c r="N506" s="7"/>
      <c r="O506" s="7"/>
      <c r="P506" s="7"/>
      <c r="Q506" s="7"/>
      <c r="R506" s="7"/>
      <c r="S506" s="7"/>
      <c r="T506" s="7"/>
      <c r="U506" s="7"/>
      <c r="V506" s="7"/>
      <c r="W506" s="7"/>
      <c r="X506" s="7"/>
      <c r="Y506" s="7"/>
    </row>
    <row r="507" spans="3:25" x14ac:dyDescent="0.2">
      <c r="C507" s="7"/>
      <c r="D507" s="7"/>
      <c r="E507" s="7"/>
      <c r="F507" s="7"/>
      <c r="G507" s="7"/>
      <c r="H507" s="7"/>
      <c r="I507" s="7"/>
      <c r="J507" s="7"/>
      <c r="K507" s="7"/>
      <c r="L507" s="7"/>
      <c r="M507" s="7"/>
      <c r="N507" s="7"/>
      <c r="O507" s="7"/>
      <c r="P507" s="7"/>
      <c r="Q507" s="7"/>
      <c r="R507" s="7"/>
      <c r="S507" s="7"/>
      <c r="T507" s="7"/>
      <c r="U507" s="7"/>
      <c r="V507" s="7"/>
      <c r="W507" s="7"/>
      <c r="X507" s="7"/>
      <c r="Y507" s="7"/>
    </row>
    <row r="508" spans="3:25" x14ac:dyDescent="0.2">
      <c r="C508" s="7"/>
      <c r="D508" s="7"/>
      <c r="E508" s="7"/>
      <c r="F508" s="7"/>
      <c r="G508" s="7"/>
      <c r="H508" s="7"/>
      <c r="I508" s="7"/>
      <c r="J508" s="7"/>
      <c r="K508" s="7"/>
      <c r="L508" s="7"/>
      <c r="M508" s="7"/>
      <c r="N508" s="7"/>
      <c r="O508" s="7"/>
      <c r="P508" s="7"/>
      <c r="Q508" s="7"/>
      <c r="R508" s="7"/>
      <c r="S508" s="7"/>
      <c r="T508" s="7"/>
      <c r="U508" s="7"/>
      <c r="V508" s="7"/>
      <c r="W508" s="7"/>
      <c r="X508" s="7"/>
      <c r="Y508" s="7"/>
    </row>
    <row r="509" spans="3:25" x14ac:dyDescent="0.2">
      <c r="C509" s="7"/>
      <c r="D509" s="7"/>
      <c r="E509" s="7"/>
      <c r="F509" s="7"/>
      <c r="G509" s="7"/>
      <c r="H509" s="7"/>
      <c r="I509" s="7"/>
      <c r="J509" s="7"/>
      <c r="K509" s="7"/>
      <c r="L509" s="7"/>
      <c r="M509" s="7"/>
      <c r="N509" s="7"/>
      <c r="O509" s="7"/>
      <c r="P509" s="7"/>
      <c r="Q509" s="7"/>
      <c r="R509" s="7"/>
      <c r="S509" s="7"/>
      <c r="T509" s="7"/>
      <c r="U509" s="7"/>
      <c r="V509" s="7"/>
      <c r="W509" s="7"/>
      <c r="X509" s="7"/>
      <c r="Y509" s="7"/>
    </row>
    <row r="510" spans="3:25" x14ac:dyDescent="0.2">
      <c r="C510" s="7"/>
      <c r="D510" s="7"/>
      <c r="E510" s="7"/>
      <c r="F510" s="7"/>
      <c r="G510" s="7"/>
      <c r="H510" s="7"/>
      <c r="I510" s="7"/>
      <c r="J510" s="7"/>
      <c r="K510" s="7"/>
      <c r="L510" s="7"/>
      <c r="M510" s="7"/>
      <c r="N510" s="7"/>
      <c r="O510" s="7"/>
      <c r="P510" s="7"/>
      <c r="Q510" s="7"/>
      <c r="R510" s="7"/>
      <c r="S510" s="7"/>
      <c r="T510" s="7"/>
      <c r="U510" s="7"/>
      <c r="V510" s="7"/>
      <c r="W510" s="7"/>
      <c r="X510" s="7"/>
      <c r="Y510" s="7"/>
    </row>
    <row r="511" spans="3:25" x14ac:dyDescent="0.2">
      <c r="C511" s="7"/>
      <c r="D511" s="7"/>
      <c r="E511" s="7"/>
      <c r="F511" s="7"/>
      <c r="G511" s="7"/>
      <c r="H511" s="7"/>
      <c r="I511" s="7"/>
      <c r="J511" s="7"/>
      <c r="K511" s="7"/>
      <c r="L511" s="7"/>
      <c r="M511" s="7"/>
      <c r="N511" s="7"/>
      <c r="O511" s="7"/>
      <c r="P511" s="7"/>
      <c r="Q511" s="7"/>
      <c r="R511" s="7"/>
      <c r="S511" s="7"/>
      <c r="T511" s="7"/>
      <c r="U511" s="7"/>
      <c r="V511" s="7"/>
      <c r="W511" s="7"/>
      <c r="X511" s="7"/>
      <c r="Y511" s="7"/>
    </row>
    <row r="512" spans="3:25" x14ac:dyDescent="0.2">
      <c r="C512" s="7"/>
      <c r="D512" s="7"/>
      <c r="E512" s="7"/>
      <c r="F512" s="7"/>
      <c r="G512" s="7"/>
      <c r="H512" s="7"/>
      <c r="I512" s="7"/>
      <c r="J512" s="7"/>
      <c r="K512" s="7"/>
      <c r="L512" s="7"/>
      <c r="M512" s="7"/>
      <c r="N512" s="7"/>
      <c r="O512" s="7"/>
      <c r="P512" s="7"/>
      <c r="Q512" s="7"/>
      <c r="R512" s="7"/>
      <c r="S512" s="7"/>
      <c r="T512" s="7"/>
      <c r="U512" s="7"/>
      <c r="V512" s="7"/>
      <c r="W512" s="7"/>
      <c r="X512" s="7"/>
      <c r="Y512" s="7"/>
    </row>
    <row r="513" spans="3:25" x14ac:dyDescent="0.2">
      <c r="C513" s="7"/>
      <c r="D513" s="7"/>
      <c r="E513" s="7"/>
      <c r="F513" s="7"/>
      <c r="G513" s="7"/>
      <c r="H513" s="7"/>
      <c r="I513" s="7"/>
      <c r="J513" s="7"/>
      <c r="K513" s="7"/>
      <c r="L513" s="7"/>
      <c r="M513" s="7"/>
      <c r="N513" s="7"/>
      <c r="O513" s="7"/>
      <c r="P513" s="7"/>
      <c r="Q513" s="7"/>
      <c r="R513" s="7"/>
      <c r="S513" s="7"/>
      <c r="T513" s="7"/>
      <c r="U513" s="7"/>
      <c r="V513" s="7"/>
      <c r="W513" s="7"/>
      <c r="X513" s="7"/>
      <c r="Y513" s="7"/>
    </row>
    <row r="514" spans="3:25" x14ac:dyDescent="0.2">
      <c r="C514" s="7"/>
      <c r="D514" s="7"/>
      <c r="E514" s="7"/>
      <c r="F514" s="7"/>
      <c r="G514" s="7"/>
      <c r="H514" s="7"/>
      <c r="I514" s="7"/>
      <c r="J514" s="7"/>
      <c r="K514" s="7"/>
      <c r="L514" s="7"/>
      <c r="M514" s="7"/>
      <c r="N514" s="7"/>
      <c r="O514" s="7"/>
      <c r="P514" s="7"/>
      <c r="Q514" s="7"/>
      <c r="R514" s="7"/>
      <c r="S514" s="7"/>
      <c r="T514" s="7"/>
      <c r="U514" s="7"/>
      <c r="V514" s="7"/>
      <c r="W514" s="7"/>
      <c r="X514" s="7"/>
      <c r="Y514" s="7"/>
    </row>
    <row r="515" spans="3:25" x14ac:dyDescent="0.2">
      <c r="C515" s="7"/>
      <c r="D515" s="7"/>
      <c r="E515" s="7"/>
      <c r="F515" s="7"/>
      <c r="G515" s="7"/>
      <c r="H515" s="7"/>
      <c r="I515" s="7"/>
      <c r="J515" s="7"/>
      <c r="K515" s="7"/>
      <c r="L515" s="7"/>
      <c r="M515" s="7"/>
      <c r="N515" s="7"/>
      <c r="O515" s="7"/>
      <c r="P515" s="7"/>
      <c r="Q515" s="7"/>
      <c r="R515" s="7"/>
      <c r="S515" s="7"/>
      <c r="T515" s="7"/>
      <c r="U515" s="7"/>
      <c r="V515" s="7"/>
      <c r="W515" s="7"/>
      <c r="X515" s="7"/>
      <c r="Y515" s="7"/>
    </row>
    <row r="516" spans="3:25" x14ac:dyDescent="0.2">
      <c r="C516" s="7"/>
      <c r="D516" s="7"/>
      <c r="E516" s="7"/>
      <c r="F516" s="7"/>
      <c r="G516" s="7"/>
      <c r="H516" s="7"/>
      <c r="I516" s="7"/>
      <c r="J516" s="7"/>
      <c r="K516" s="7"/>
      <c r="L516" s="7"/>
      <c r="M516" s="7"/>
      <c r="N516" s="7"/>
      <c r="O516" s="7"/>
      <c r="P516" s="7"/>
      <c r="Q516" s="7"/>
      <c r="R516" s="7"/>
      <c r="S516" s="7"/>
      <c r="T516" s="7"/>
      <c r="U516" s="7"/>
      <c r="V516" s="7"/>
      <c r="W516" s="7"/>
      <c r="X516" s="7"/>
      <c r="Y516" s="7"/>
    </row>
    <row r="517" spans="3:25" x14ac:dyDescent="0.2">
      <c r="C517" s="7"/>
      <c r="D517" s="7"/>
      <c r="E517" s="7"/>
      <c r="F517" s="7"/>
      <c r="G517" s="7"/>
      <c r="H517" s="7"/>
      <c r="I517" s="7"/>
      <c r="J517" s="7"/>
      <c r="K517" s="7"/>
      <c r="L517" s="7"/>
      <c r="M517" s="7"/>
      <c r="N517" s="7"/>
      <c r="O517" s="7"/>
      <c r="P517" s="7"/>
      <c r="Q517" s="7"/>
      <c r="R517" s="7"/>
      <c r="S517" s="7"/>
      <c r="T517" s="7"/>
      <c r="U517" s="7"/>
      <c r="V517" s="7"/>
      <c r="W517" s="7"/>
      <c r="X517" s="7"/>
      <c r="Y517" s="7"/>
    </row>
    <row r="518" spans="3:25" x14ac:dyDescent="0.2">
      <c r="C518" s="7"/>
      <c r="D518" s="7"/>
      <c r="E518" s="7"/>
      <c r="F518" s="7"/>
      <c r="G518" s="7"/>
      <c r="H518" s="7"/>
      <c r="I518" s="7"/>
      <c r="J518" s="7"/>
      <c r="K518" s="7"/>
      <c r="L518" s="7"/>
      <c r="M518" s="7"/>
      <c r="N518" s="7"/>
      <c r="O518" s="7"/>
      <c r="P518" s="7"/>
      <c r="Q518" s="7"/>
      <c r="R518" s="7"/>
      <c r="S518" s="7"/>
      <c r="T518" s="7"/>
      <c r="U518" s="7"/>
      <c r="V518" s="7"/>
      <c r="W518" s="7"/>
      <c r="X518" s="7"/>
      <c r="Y518" s="7"/>
    </row>
    <row r="519" spans="3:25" x14ac:dyDescent="0.2">
      <c r="C519" s="7"/>
      <c r="D519" s="7"/>
      <c r="E519" s="7"/>
      <c r="F519" s="7"/>
      <c r="G519" s="7"/>
      <c r="H519" s="7"/>
      <c r="I519" s="7"/>
      <c r="J519" s="7"/>
      <c r="K519" s="7"/>
      <c r="L519" s="7"/>
      <c r="M519" s="7"/>
      <c r="N519" s="7"/>
      <c r="O519" s="7"/>
      <c r="P519" s="7"/>
      <c r="Q519" s="7"/>
      <c r="R519" s="7"/>
      <c r="S519" s="7"/>
      <c r="T519" s="7"/>
      <c r="U519" s="7"/>
      <c r="V519" s="7"/>
      <c r="W519" s="7"/>
      <c r="X519" s="7"/>
      <c r="Y519" s="7"/>
    </row>
    <row r="520" spans="3:25" x14ac:dyDescent="0.2">
      <c r="C520" s="7"/>
      <c r="D520" s="7"/>
      <c r="E520" s="7"/>
      <c r="F520" s="7"/>
      <c r="G520" s="7"/>
      <c r="H520" s="7"/>
      <c r="I520" s="7"/>
      <c r="J520" s="7"/>
      <c r="K520" s="7"/>
      <c r="L520" s="7"/>
      <c r="M520" s="7"/>
      <c r="N520" s="7"/>
      <c r="O520" s="7"/>
      <c r="P520" s="7"/>
      <c r="Q520" s="7"/>
      <c r="R520" s="7"/>
      <c r="S520" s="7"/>
      <c r="T520" s="7"/>
      <c r="U520" s="7"/>
      <c r="V520" s="7"/>
      <c r="W520" s="7"/>
      <c r="X520" s="7"/>
      <c r="Y520" s="7"/>
    </row>
    <row r="521" spans="3:25" x14ac:dyDescent="0.2">
      <c r="C521" s="7"/>
      <c r="D521" s="7"/>
      <c r="E521" s="7"/>
      <c r="F521" s="7"/>
      <c r="G521" s="7"/>
      <c r="H521" s="7"/>
      <c r="I521" s="7"/>
      <c r="J521" s="7"/>
      <c r="K521" s="7"/>
      <c r="L521" s="7"/>
      <c r="M521" s="7"/>
      <c r="N521" s="7"/>
      <c r="O521" s="7"/>
      <c r="P521" s="7"/>
      <c r="Q521" s="7"/>
      <c r="R521" s="7"/>
      <c r="S521" s="7"/>
      <c r="T521" s="7"/>
      <c r="U521" s="7"/>
      <c r="V521" s="7"/>
      <c r="W521" s="7"/>
      <c r="X521" s="7"/>
      <c r="Y521" s="7"/>
    </row>
    <row r="522" spans="3:25" x14ac:dyDescent="0.2">
      <c r="C522" s="7"/>
      <c r="D522" s="7"/>
      <c r="E522" s="7"/>
      <c r="F522" s="7"/>
      <c r="G522" s="7"/>
      <c r="H522" s="7"/>
      <c r="I522" s="7"/>
      <c r="J522" s="7"/>
      <c r="K522" s="7"/>
      <c r="L522" s="7"/>
      <c r="M522" s="7"/>
      <c r="N522" s="7"/>
      <c r="O522" s="7"/>
      <c r="P522" s="7"/>
      <c r="Q522" s="7"/>
      <c r="R522" s="7"/>
      <c r="S522" s="7"/>
      <c r="T522" s="7"/>
      <c r="U522" s="7"/>
      <c r="V522" s="7"/>
      <c r="W522" s="7"/>
      <c r="X522" s="7"/>
      <c r="Y522" s="7"/>
    </row>
    <row r="523" spans="3:25" x14ac:dyDescent="0.2">
      <c r="C523" s="7"/>
      <c r="D523" s="7"/>
      <c r="E523" s="7"/>
      <c r="F523" s="7"/>
      <c r="G523" s="7"/>
      <c r="H523" s="7"/>
      <c r="I523" s="7"/>
      <c r="J523" s="7"/>
      <c r="K523" s="7"/>
      <c r="L523" s="7"/>
      <c r="M523" s="7"/>
      <c r="N523" s="7"/>
      <c r="O523" s="7"/>
      <c r="P523" s="7"/>
      <c r="Q523" s="7"/>
      <c r="R523" s="7"/>
      <c r="S523" s="7"/>
      <c r="T523" s="7"/>
      <c r="U523" s="7"/>
      <c r="V523" s="7"/>
      <c r="W523" s="7"/>
      <c r="X523" s="7"/>
      <c r="Y523" s="7"/>
    </row>
    <row r="524" spans="3:25" x14ac:dyDescent="0.2">
      <c r="C524" s="7"/>
      <c r="D524" s="7"/>
      <c r="E524" s="7"/>
      <c r="F524" s="7"/>
      <c r="G524" s="7"/>
      <c r="H524" s="7"/>
      <c r="I524" s="7"/>
      <c r="J524" s="7"/>
      <c r="K524" s="7"/>
      <c r="L524" s="7"/>
      <c r="M524" s="7"/>
      <c r="N524" s="7"/>
      <c r="O524" s="7"/>
      <c r="P524" s="7"/>
      <c r="Q524" s="7"/>
      <c r="R524" s="7"/>
      <c r="S524" s="7"/>
      <c r="T524" s="7"/>
      <c r="U524" s="7"/>
      <c r="V524" s="7"/>
      <c r="W524" s="7"/>
      <c r="X524" s="7"/>
      <c r="Y524" s="7"/>
    </row>
    <row r="525" spans="3:25" x14ac:dyDescent="0.2">
      <c r="C525" s="7"/>
      <c r="D525" s="7"/>
      <c r="E525" s="7"/>
      <c r="F525" s="7"/>
      <c r="G525" s="7"/>
      <c r="H525" s="7"/>
      <c r="I525" s="7"/>
      <c r="J525" s="7"/>
      <c r="K525" s="7"/>
      <c r="L525" s="7"/>
      <c r="M525" s="7"/>
      <c r="N525" s="7"/>
      <c r="O525" s="7"/>
      <c r="P525" s="7"/>
      <c r="Q525" s="7"/>
      <c r="R525" s="7"/>
      <c r="S525" s="7"/>
      <c r="T525" s="7"/>
      <c r="U525" s="7"/>
      <c r="V525" s="7"/>
      <c r="W525" s="7"/>
      <c r="X525" s="7"/>
      <c r="Y525" s="7"/>
    </row>
    <row r="526" spans="3:25" x14ac:dyDescent="0.2">
      <c r="C526" s="7"/>
      <c r="D526" s="7"/>
      <c r="E526" s="7"/>
      <c r="F526" s="7"/>
      <c r="G526" s="7"/>
      <c r="H526" s="7"/>
      <c r="I526" s="7"/>
      <c r="J526" s="7"/>
      <c r="K526" s="7"/>
      <c r="L526" s="7"/>
      <c r="M526" s="7"/>
      <c r="N526" s="7"/>
      <c r="O526" s="7"/>
      <c r="P526" s="7"/>
      <c r="Q526" s="7"/>
      <c r="R526" s="7"/>
      <c r="S526" s="7"/>
      <c r="T526" s="7"/>
      <c r="U526" s="7"/>
      <c r="V526" s="7"/>
      <c r="W526" s="7"/>
      <c r="X526" s="7"/>
      <c r="Y526" s="7"/>
    </row>
    <row r="527" spans="3:25" x14ac:dyDescent="0.2">
      <c r="C527" s="7"/>
      <c r="D527" s="7"/>
      <c r="E527" s="7"/>
      <c r="F527" s="7"/>
      <c r="G527" s="7"/>
      <c r="H527" s="7"/>
      <c r="I527" s="7"/>
      <c r="J527" s="7"/>
      <c r="K527" s="7"/>
      <c r="L527" s="7"/>
      <c r="M527" s="7"/>
      <c r="N527" s="7"/>
      <c r="O527" s="7"/>
      <c r="P527" s="7"/>
      <c r="Q527" s="7"/>
      <c r="R527" s="7"/>
      <c r="S527" s="7"/>
      <c r="T527" s="7"/>
      <c r="U527" s="7"/>
      <c r="V527" s="7"/>
      <c r="W527" s="7"/>
      <c r="X527" s="7"/>
      <c r="Y527" s="7"/>
    </row>
    <row r="528" spans="3:25" x14ac:dyDescent="0.2">
      <c r="C528" s="7"/>
      <c r="D528" s="7"/>
      <c r="E528" s="7"/>
      <c r="F528" s="7"/>
      <c r="G528" s="7"/>
      <c r="H528" s="7"/>
      <c r="I528" s="7"/>
      <c r="J528" s="7"/>
      <c r="K528" s="7"/>
      <c r="L528" s="7"/>
      <c r="M528" s="7"/>
      <c r="N528" s="7"/>
      <c r="O528" s="7"/>
      <c r="P528" s="7"/>
      <c r="Q528" s="7"/>
      <c r="R528" s="7"/>
      <c r="S528" s="7"/>
      <c r="T528" s="7"/>
      <c r="U528" s="7"/>
      <c r="V528" s="7"/>
      <c r="W528" s="7"/>
      <c r="X528" s="7"/>
      <c r="Y528" s="7"/>
    </row>
    <row r="529" spans="3:25" x14ac:dyDescent="0.2">
      <c r="C529" s="7"/>
      <c r="D529" s="7"/>
      <c r="E529" s="7"/>
      <c r="F529" s="7"/>
      <c r="G529" s="7"/>
      <c r="H529" s="7"/>
      <c r="I529" s="7"/>
      <c r="J529" s="7"/>
      <c r="K529" s="7"/>
      <c r="L529" s="7"/>
      <c r="M529" s="7"/>
      <c r="N529" s="7"/>
      <c r="O529" s="7"/>
      <c r="P529" s="7"/>
      <c r="Q529" s="7"/>
      <c r="R529" s="7"/>
      <c r="S529" s="7"/>
      <c r="T529" s="7"/>
      <c r="U529" s="7"/>
      <c r="V529" s="7"/>
      <c r="W529" s="7"/>
      <c r="X529" s="7"/>
      <c r="Y529" s="7"/>
    </row>
    <row r="530" spans="3:25" x14ac:dyDescent="0.2">
      <c r="C530" s="7"/>
      <c r="D530" s="7"/>
      <c r="E530" s="7"/>
      <c r="F530" s="7"/>
      <c r="G530" s="7"/>
      <c r="H530" s="7"/>
      <c r="I530" s="7"/>
      <c r="J530" s="7"/>
      <c r="K530" s="7"/>
      <c r="L530" s="7"/>
      <c r="M530" s="7"/>
      <c r="N530" s="7"/>
      <c r="O530" s="7"/>
      <c r="P530" s="7"/>
      <c r="Q530" s="7"/>
      <c r="R530" s="7"/>
      <c r="S530" s="7"/>
      <c r="T530" s="7"/>
      <c r="U530" s="7"/>
      <c r="V530" s="7"/>
      <c r="W530" s="7"/>
      <c r="X530" s="7"/>
      <c r="Y530" s="7"/>
    </row>
    <row r="531" spans="3:25" x14ac:dyDescent="0.2">
      <c r="C531" s="7"/>
      <c r="D531" s="7"/>
      <c r="E531" s="7"/>
      <c r="F531" s="7"/>
      <c r="G531" s="7"/>
      <c r="H531" s="7"/>
      <c r="I531" s="7"/>
      <c r="J531" s="7"/>
      <c r="K531" s="7"/>
      <c r="L531" s="7"/>
      <c r="M531" s="7"/>
      <c r="N531" s="7"/>
      <c r="O531" s="7"/>
      <c r="P531" s="7"/>
      <c r="Q531" s="7"/>
      <c r="R531" s="7"/>
      <c r="S531" s="7"/>
      <c r="T531" s="7"/>
      <c r="U531" s="7"/>
      <c r="V531" s="7"/>
      <c r="W531" s="7"/>
      <c r="X531" s="7"/>
      <c r="Y531" s="7"/>
    </row>
    <row r="532" spans="3:25" x14ac:dyDescent="0.2">
      <c r="C532" s="7"/>
      <c r="D532" s="7"/>
      <c r="E532" s="7"/>
      <c r="F532" s="7"/>
      <c r="G532" s="7"/>
      <c r="H532" s="7"/>
      <c r="I532" s="7"/>
      <c r="J532" s="7"/>
      <c r="K532" s="7"/>
      <c r="L532" s="7"/>
      <c r="M532" s="7"/>
      <c r="N532" s="7"/>
      <c r="O532" s="7"/>
      <c r="P532" s="7"/>
      <c r="Q532" s="7"/>
      <c r="R532" s="7"/>
      <c r="S532" s="7"/>
      <c r="T532" s="7"/>
      <c r="U532" s="7"/>
      <c r="V532" s="7"/>
      <c r="W532" s="7"/>
      <c r="X532" s="7"/>
      <c r="Y532" s="7"/>
    </row>
    <row r="533" spans="3:25" x14ac:dyDescent="0.2">
      <c r="C533" s="7"/>
      <c r="D533" s="7"/>
      <c r="E533" s="7"/>
      <c r="F533" s="7"/>
      <c r="G533" s="7"/>
      <c r="H533" s="7"/>
      <c r="I533" s="7"/>
      <c r="J533" s="7"/>
      <c r="K533" s="7"/>
      <c r="L533" s="7"/>
      <c r="M533" s="7"/>
      <c r="N533" s="7"/>
      <c r="O533" s="7"/>
      <c r="P533" s="7"/>
      <c r="Q533" s="7"/>
      <c r="R533" s="7"/>
      <c r="S533" s="7"/>
      <c r="T533" s="7"/>
      <c r="U533" s="7"/>
      <c r="V533" s="7"/>
      <c r="W533" s="7"/>
      <c r="X533" s="7"/>
      <c r="Y533" s="7"/>
    </row>
    <row r="534" spans="3:25" x14ac:dyDescent="0.2">
      <c r="C534" s="7"/>
      <c r="D534" s="7"/>
      <c r="E534" s="7"/>
      <c r="F534" s="7"/>
      <c r="G534" s="7"/>
      <c r="H534" s="7"/>
      <c r="I534" s="7"/>
      <c r="J534" s="7"/>
      <c r="K534" s="7"/>
      <c r="L534" s="7"/>
      <c r="M534" s="7"/>
      <c r="N534" s="7"/>
      <c r="O534" s="7"/>
      <c r="P534" s="7"/>
      <c r="Q534" s="7"/>
      <c r="R534" s="7"/>
      <c r="S534" s="7"/>
      <c r="T534" s="7"/>
      <c r="U534" s="7"/>
      <c r="V534" s="7"/>
      <c r="W534" s="7"/>
      <c r="X534" s="7"/>
      <c r="Y534" s="7"/>
    </row>
    <row r="535" spans="3:25" x14ac:dyDescent="0.2">
      <c r="C535" s="7"/>
      <c r="D535" s="7"/>
      <c r="E535" s="7"/>
      <c r="F535" s="7"/>
      <c r="G535" s="7"/>
      <c r="H535" s="7"/>
      <c r="I535" s="7"/>
      <c r="J535" s="7"/>
      <c r="K535" s="7"/>
      <c r="L535" s="7"/>
      <c r="M535" s="7"/>
      <c r="N535" s="7"/>
      <c r="O535" s="7"/>
      <c r="P535" s="7"/>
      <c r="Q535" s="7"/>
      <c r="R535" s="7"/>
      <c r="S535" s="7"/>
      <c r="T535" s="7"/>
      <c r="U535" s="7"/>
      <c r="V535" s="7"/>
      <c r="W535" s="7"/>
      <c r="X535" s="7"/>
      <c r="Y535" s="7"/>
    </row>
    <row r="536" spans="3:25" x14ac:dyDescent="0.2">
      <c r="C536" s="7"/>
      <c r="D536" s="7"/>
      <c r="E536" s="7"/>
      <c r="F536" s="7"/>
      <c r="G536" s="7"/>
      <c r="H536" s="7"/>
      <c r="I536" s="7"/>
      <c r="J536" s="7"/>
      <c r="K536" s="7"/>
      <c r="L536" s="7"/>
      <c r="M536" s="7"/>
      <c r="N536" s="7"/>
      <c r="O536" s="7"/>
      <c r="P536" s="7"/>
      <c r="Q536" s="7"/>
      <c r="R536" s="7"/>
      <c r="S536" s="7"/>
      <c r="T536" s="7"/>
      <c r="U536" s="7"/>
      <c r="V536" s="7"/>
      <c r="W536" s="7"/>
      <c r="X536" s="7"/>
      <c r="Y536" s="7"/>
    </row>
    <row r="537" spans="3:25" x14ac:dyDescent="0.2">
      <c r="C537" s="7"/>
      <c r="D537" s="7"/>
      <c r="E537" s="7"/>
      <c r="F537" s="7"/>
      <c r="G537" s="7"/>
      <c r="H537" s="7"/>
      <c r="I537" s="7"/>
      <c r="J537" s="7"/>
      <c r="K537" s="7"/>
      <c r="L537" s="7"/>
      <c r="M537" s="7"/>
      <c r="N537" s="7"/>
      <c r="O537" s="7"/>
      <c r="P537" s="7"/>
      <c r="Q537" s="7"/>
      <c r="R537" s="7"/>
      <c r="S537" s="7"/>
      <c r="T537" s="7"/>
      <c r="U537" s="7"/>
      <c r="V537" s="7"/>
      <c r="W537" s="7"/>
      <c r="X537" s="7"/>
      <c r="Y537" s="7"/>
    </row>
    <row r="538" spans="3:25" x14ac:dyDescent="0.2">
      <c r="C538" s="7"/>
      <c r="D538" s="7"/>
      <c r="E538" s="7"/>
      <c r="F538" s="7"/>
      <c r="G538" s="7"/>
      <c r="H538" s="7"/>
      <c r="I538" s="7"/>
      <c r="J538" s="7"/>
      <c r="K538" s="7"/>
      <c r="L538" s="7"/>
      <c r="M538" s="7"/>
      <c r="N538" s="7"/>
      <c r="O538" s="7"/>
      <c r="P538" s="7"/>
      <c r="Q538" s="7"/>
      <c r="R538" s="7"/>
      <c r="S538" s="7"/>
      <c r="T538" s="7"/>
      <c r="U538" s="7"/>
      <c r="V538" s="7"/>
      <c r="W538" s="7"/>
      <c r="X538" s="7"/>
      <c r="Y538" s="7"/>
    </row>
    <row r="539" spans="3:25" x14ac:dyDescent="0.2">
      <c r="C539" s="7"/>
      <c r="D539" s="7"/>
      <c r="E539" s="7"/>
      <c r="F539" s="7"/>
      <c r="G539" s="7"/>
      <c r="H539" s="7"/>
      <c r="I539" s="7"/>
      <c r="J539" s="7"/>
      <c r="K539" s="7"/>
      <c r="L539" s="7"/>
      <c r="M539" s="7"/>
      <c r="N539" s="7"/>
      <c r="O539" s="7"/>
      <c r="P539" s="7"/>
      <c r="Q539" s="7"/>
      <c r="R539" s="7"/>
      <c r="S539" s="7"/>
      <c r="T539" s="7"/>
      <c r="U539" s="7"/>
      <c r="V539" s="7"/>
      <c r="W539" s="7"/>
      <c r="X539" s="7"/>
      <c r="Y539" s="7"/>
    </row>
    <row r="540" spans="3:25" x14ac:dyDescent="0.2">
      <c r="C540" s="7"/>
      <c r="D540" s="7"/>
      <c r="E540" s="7"/>
      <c r="F540" s="7"/>
      <c r="G540" s="7"/>
      <c r="H540" s="7"/>
      <c r="I540" s="7"/>
      <c r="J540" s="7"/>
      <c r="K540" s="7"/>
      <c r="L540" s="7"/>
      <c r="M540" s="7"/>
      <c r="N540" s="7"/>
      <c r="O540" s="7"/>
      <c r="P540" s="7"/>
      <c r="Q540" s="7"/>
      <c r="R540" s="7"/>
      <c r="S540" s="7"/>
      <c r="T540" s="7"/>
      <c r="U540" s="7"/>
      <c r="V540" s="7"/>
      <c r="W540" s="7"/>
      <c r="X540" s="7"/>
      <c r="Y540" s="7"/>
    </row>
    <row r="541" spans="3:25" x14ac:dyDescent="0.2">
      <c r="C541" s="7"/>
      <c r="D541" s="7"/>
      <c r="E541" s="7"/>
      <c r="F541" s="7"/>
      <c r="G541" s="7"/>
      <c r="H541" s="7"/>
      <c r="I541" s="7"/>
      <c r="J541" s="7"/>
      <c r="K541" s="7"/>
      <c r="L541" s="7"/>
      <c r="M541" s="7"/>
      <c r="N541" s="7"/>
      <c r="O541" s="7"/>
      <c r="P541" s="7"/>
      <c r="Q541" s="7"/>
      <c r="R541" s="7"/>
      <c r="S541" s="7"/>
      <c r="T541" s="7"/>
      <c r="U541" s="7"/>
      <c r="V541" s="7"/>
      <c r="W541" s="7"/>
      <c r="X541" s="7"/>
      <c r="Y541" s="7"/>
    </row>
    <row r="542" spans="3:25" x14ac:dyDescent="0.2">
      <c r="C542" s="7"/>
      <c r="D542" s="7"/>
      <c r="E542" s="7"/>
      <c r="F542" s="7"/>
      <c r="G542" s="7"/>
      <c r="H542" s="7"/>
      <c r="I542" s="7"/>
      <c r="J542" s="7"/>
      <c r="K542" s="7"/>
      <c r="L542" s="7"/>
      <c r="M542" s="7"/>
      <c r="N542" s="7"/>
      <c r="O542" s="7"/>
      <c r="P542" s="7"/>
      <c r="Q542" s="7"/>
      <c r="R542" s="7"/>
      <c r="S542" s="7"/>
      <c r="T542" s="7"/>
      <c r="U542" s="7"/>
      <c r="V542" s="7"/>
      <c r="W542" s="7"/>
      <c r="X542" s="7"/>
      <c r="Y542" s="7"/>
    </row>
    <row r="543" spans="3:25" x14ac:dyDescent="0.2">
      <c r="C543" s="7"/>
      <c r="D543" s="7"/>
      <c r="E543" s="7"/>
      <c r="F543" s="7"/>
      <c r="G543" s="7"/>
      <c r="H543" s="7"/>
      <c r="I543" s="7"/>
      <c r="J543" s="7"/>
      <c r="K543" s="7"/>
      <c r="L543" s="7"/>
      <c r="M543" s="7"/>
      <c r="N543" s="7"/>
      <c r="O543" s="7"/>
      <c r="P543" s="7"/>
      <c r="Q543" s="7"/>
      <c r="R543" s="7"/>
      <c r="S543" s="7"/>
      <c r="T543" s="7"/>
      <c r="U543" s="7"/>
      <c r="V543" s="7"/>
      <c r="W543" s="7"/>
      <c r="X543" s="7"/>
      <c r="Y543" s="7"/>
    </row>
    <row r="544" spans="3:25" x14ac:dyDescent="0.2">
      <c r="C544" s="7"/>
      <c r="D544" s="7"/>
      <c r="E544" s="7"/>
      <c r="F544" s="7"/>
      <c r="G544" s="7"/>
      <c r="H544" s="7"/>
      <c r="I544" s="7"/>
      <c r="J544" s="7"/>
      <c r="K544" s="7"/>
      <c r="L544" s="7"/>
      <c r="M544" s="7"/>
      <c r="N544" s="7"/>
      <c r="O544" s="7"/>
      <c r="P544" s="7"/>
      <c r="Q544" s="7"/>
      <c r="R544" s="7"/>
      <c r="S544" s="7"/>
      <c r="T544" s="7"/>
      <c r="U544" s="7"/>
      <c r="V544" s="7"/>
      <c r="W544" s="7"/>
      <c r="X544" s="7"/>
      <c r="Y544" s="7"/>
    </row>
    <row r="545" spans="3:25" x14ac:dyDescent="0.2">
      <c r="C545" s="7"/>
      <c r="D545" s="7"/>
      <c r="E545" s="7"/>
      <c r="F545" s="7"/>
      <c r="G545" s="7"/>
      <c r="H545" s="7"/>
      <c r="I545" s="7"/>
      <c r="J545" s="7"/>
      <c r="K545" s="7"/>
      <c r="L545" s="7"/>
      <c r="M545" s="7"/>
      <c r="N545" s="7"/>
      <c r="O545" s="7"/>
      <c r="P545" s="7"/>
      <c r="Q545" s="7"/>
      <c r="R545" s="7"/>
      <c r="S545" s="7"/>
      <c r="T545" s="7"/>
      <c r="U545" s="7"/>
      <c r="V545" s="7"/>
      <c r="W545" s="7"/>
      <c r="X545" s="7"/>
      <c r="Y545" s="7"/>
    </row>
    <row r="546" spans="3:25" x14ac:dyDescent="0.2">
      <c r="C546" s="7"/>
      <c r="D546" s="7"/>
      <c r="E546" s="7"/>
      <c r="F546" s="7"/>
      <c r="G546" s="7"/>
      <c r="H546" s="7"/>
      <c r="I546" s="7"/>
      <c r="J546" s="7"/>
      <c r="K546" s="7"/>
      <c r="L546" s="7"/>
      <c r="M546" s="7"/>
      <c r="N546" s="7"/>
      <c r="O546" s="7"/>
      <c r="P546" s="7"/>
      <c r="Q546" s="7"/>
      <c r="R546" s="7"/>
      <c r="S546" s="7"/>
      <c r="T546" s="7"/>
      <c r="U546" s="7"/>
      <c r="V546" s="7"/>
      <c r="W546" s="7"/>
      <c r="X546" s="7"/>
      <c r="Y546" s="7"/>
    </row>
    <row r="547" spans="3:25" x14ac:dyDescent="0.2">
      <c r="C547" s="7"/>
      <c r="D547" s="7"/>
      <c r="E547" s="7"/>
      <c r="F547" s="7"/>
      <c r="G547" s="7"/>
      <c r="H547" s="7"/>
      <c r="I547" s="7"/>
      <c r="J547" s="7"/>
      <c r="K547" s="7"/>
      <c r="L547" s="7"/>
      <c r="M547" s="7"/>
      <c r="N547" s="7"/>
      <c r="O547" s="7"/>
      <c r="P547" s="7"/>
      <c r="Q547" s="7"/>
      <c r="R547" s="7"/>
      <c r="S547" s="7"/>
      <c r="T547" s="7"/>
      <c r="U547" s="7"/>
      <c r="V547" s="7"/>
      <c r="W547" s="7"/>
      <c r="X547" s="7"/>
      <c r="Y547" s="7"/>
    </row>
    <row r="548" spans="3:25" x14ac:dyDescent="0.2">
      <c r="C548" s="7"/>
      <c r="D548" s="7"/>
      <c r="E548" s="7"/>
      <c r="F548" s="7"/>
      <c r="G548" s="7"/>
      <c r="H548" s="7"/>
      <c r="I548" s="7"/>
      <c r="J548" s="7"/>
      <c r="K548" s="7"/>
      <c r="L548" s="7"/>
      <c r="M548" s="7"/>
      <c r="N548" s="7"/>
      <c r="O548" s="7"/>
      <c r="P548" s="7"/>
      <c r="Q548" s="7"/>
      <c r="R548" s="7"/>
      <c r="S548" s="7"/>
      <c r="T548" s="7"/>
      <c r="U548" s="7"/>
      <c r="V548" s="7"/>
      <c r="W548" s="7"/>
      <c r="X548" s="7"/>
      <c r="Y548" s="7"/>
    </row>
    <row r="549" spans="3:25" x14ac:dyDescent="0.2">
      <c r="C549" s="7"/>
      <c r="D549" s="7"/>
      <c r="E549" s="7"/>
      <c r="F549" s="7"/>
      <c r="G549" s="7"/>
      <c r="H549" s="7"/>
      <c r="I549" s="7"/>
      <c r="J549" s="7"/>
      <c r="K549" s="7"/>
      <c r="L549" s="7"/>
      <c r="M549" s="7"/>
      <c r="N549" s="7"/>
      <c r="O549" s="7"/>
      <c r="P549" s="7"/>
      <c r="Q549" s="7"/>
      <c r="R549" s="7"/>
      <c r="S549" s="7"/>
      <c r="T549" s="7"/>
      <c r="U549" s="7"/>
      <c r="V549" s="7"/>
      <c r="W549" s="7"/>
      <c r="X549" s="7"/>
      <c r="Y549" s="7"/>
    </row>
    <row r="550" spans="3:25" x14ac:dyDescent="0.2">
      <c r="C550" s="7"/>
      <c r="D550" s="7"/>
      <c r="E550" s="7"/>
      <c r="F550" s="7"/>
      <c r="G550" s="7"/>
      <c r="H550" s="7"/>
      <c r="I550" s="7"/>
      <c r="J550" s="7"/>
      <c r="K550" s="7"/>
      <c r="L550" s="7"/>
      <c r="M550" s="7"/>
      <c r="N550" s="7"/>
      <c r="O550" s="7"/>
      <c r="P550" s="7"/>
      <c r="Q550" s="7"/>
      <c r="R550" s="7"/>
      <c r="S550" s="7"/>
      <c r="T550" s="7"/>
      <c r="U550" s="7"/>
      <c r="V550" s="7"/>
      <c r="W550" s="7"/>
      <c r="X550" s="7"/>
      <c r="Y550" s="7"/>
    </row>
    <row r="551" spans="3:25" x14ac:dyDescent="0.2">
      <c r="C551" s="7"/>
      <c r="D551" s="7"/>
      <c r="E551" s="7"/>
      <c r="F551" s="7"/>
      <c r="G551" s="7"/>
      <c r="H551" s="7"/>
      <c r="I551" s="7"/>
      <c r="J551" s="7"/>
      <c r="K551" s="7"/>
      <c r="L551" s="7"/>
      <c r="M551" s="7"/>
      <c r="N551" s="7"/>
      <c r="O551" s="7"/>
      <c r="P551" s="7"/>
      <c r="Q551" s="7"/>
      <c r="R551" s="7"/>
      <c r="S551" s="7"/>
      <c r="T551" s="7"/>
      <c r="U551" s="7"/>
      <c r="V551" s="7"/>
      <c r="W551" s="7"/>
      <c r="X551" s="7"/>
      <c r="Y551" s="7"/>
    </row>
    <row r="552" spans="3:25" x14ac:dyDescent="0.2">
      <c r="C552" s="7"/>
      <c r="D552" s="7"/>
      <c r="E552" s="7"/>
      <c r="F552" s="7"/>
      <c r="G552" s="7"/>
      <c r="H552" s="7"/>
      <c r="I552" s="7"/>
      <c r="J552" s="7"/>
      <c r="K552" s="7"/>
      <c r="L552" s="7"/>
      <c r="M552" s="7"/>
      <c r="N552" s="7"/>
      <c r="O552" s="7"/>
      <c r="P552" s="7"/>
      <c r="Q552" s="7"/>
      <c r="R552" s="7"/>
      <c r="S552" s="7"/>
      <c r="T552" s="7"/>
      <c r="U552" s="7"/>
      <c r="V552" s="7"/>
      <c r="W552" s="7"/>
      <c r="X552" s="7"/>
      <c r="Y552" s="7"/>
    </row>
    <row r="553" spans="3:25" x14ac:dyDescent="0.2">
      <c r="C553" s="7"/>
      <c r="D553" s="7"/>
      <c r="E553" s="7"/>
      <c r="F553" s="7"/>
      <c r="G553" s="7"/>
      <c r="H553" s="7"/>
      <c r="I553" s="7"/>
      <c r="J553" s="7"/>
      <c r="K553" s="7"/>
      <c r="L553" s="7"/>
      <c r="M553" s="7"/>
      <c r="N553" s="7"/>
      <c r="O553" s="7"/>
      <c r="P553" s="7"/>
      <c r="Q553" s="7"/>
      <c r="R553" s="7"/>
      <c r="S553" s="7"/>
      <c r="T553" s="7"/>
      <c r="U553" s="7"/>
      <c r="V553" s="7"/>
      <c r="W553" s="7"/>
      <c r="X553" s="7"/>
      <c r="Y553" s="7"/>
    </row>
    <row r="554" spans="3:25" x14ac:dyDescent="0.2">
      <c r="C554" s="7"/>
      <c r="D554" s="7"/>
      <c r="E554" s="7"/>
      <c r="F554" s="7"/>
      <c r="G554" s="7"/>
      <c r="H554" s="7"/>
      <c r="I554" s="7"/>
      <c r="J554" s="7"/>
      <c r="K554" s="7"/>
      <c r="L554" s="7"/>
      <c r="M554" s="7"/>
      <c r="N554" s="7"/>
      <c r="O554" s="7"/>
      <c r="P554" s="7"/>
      <c r="Q554" s="7"/>
      <c r="R554" s="7"/>
      <c r="S554" s="7"/>
      <c r="T554" s="7"/>
      <c r="U554" s="7"/>
      <c r="V554" s="7"/>
      <c r="W554" s="7"/>
      <c r="X554" s="7"/>
      <c r="Y554" s="7"/>
    </row>
    <row r="555" spans="3:25" x14ac:dyDescent="0.2">
      <c r="C555" s="7"/>
      <c r="D555" s="7"/>
      <c r="E555" s="7"/>
      <c r="F555" s="7"/>
      <c r="G555" s="7"/>
      <c r="H555" s="7"/>
      <c r="I555" s="7"/>
      <c r="J555" s="7"/>
      <c r="K555" s="7"/>
      <c r="L555" s="7"/>
      <c r="M555" s="7"/>
      <c r="N555" s="7"/>
      <c r="O555" s="7"/>
      <c r="P555" s="7"/>
      <c r="Q555" s="7"/>
      <c r="R555" s="7"/>
      <c r="S555" s="7"/>
      <c r="T555" s="7"/>
      <c r="U555" s="7"/>
      <c r="V555" s="7"/>
      <c r="W555" s="7"/>
      <c r="X555" s="7"/>
      <c r="Y555" s="7"/>
    </row>
    <row r="556" spans="3:25" x14ac:dyDescent="0.2">
      <c r="C556" s="7"/>
      <c r="D556" s="7"/>
      <c r="E556" s="7"/>
      <c r="F556" s="7"/>
      <c r="G556" s="7"/>
      <c r="H556" s="7"/>
      <c r="I556" s="7"/>
      <c r="J556" s="7"/>
      <c r="K556" s="7"/>
      <c r="L556" s="7"/>
      <c r="M556" s="7"/>
      <c r="N556" s="7"/>
      <c r="O556" s="7"/>
      <c r="P556" s="7"/>
      <c r="Q556" s="7"/>
      <c r="R556" s="7"/>
      <c r="S556" s="7"/>
      <c r="T556" s="7"/>
      <c r="U556" s="7"/>
      <c r="V556" s="7"/>
      <c r="W556" s="7"/>
      <c r="X556" s="7"/>
      <c r="Y556" s="7"/>
    </row>
    <row r="557" spans="3:25" x14ac:dyDescent="0.2">
      <c r="C557" s="7"/>
      <c r="D557" s="7"/>
      <c r="E557" s="7"/>
      <c r="F557" s="7"/>
      <c r="G557" s="7"/>
      <c r="H557" s="7"/>
      <c r="I557" s="7"/>
      <c r="J557" s="7"/>
      <c r="K557" s="7"/>
      <c r="L557" s="7"/>
      <c r="M557" s="7"/>
      <c r="N557" s="7"/>
      <c r="O557" s="7"/>
      <c r="P557" s="7"/>
      <c r="Q557" s="7"/>
      <c r="R557" s="7"/>
      <c r="S557" s="7"/>
      <c r="T557" s="7"/>
      <c r="U557" s="7"/>
      <c r="V557" s="7"/>
      <c r="W557" s="7"/>
      <c r="X557" s="7"/>
      <c r="Y557" s="7"/>
    </row>
    <row r="558" spans="3:25" x14ac:dyDescent="0.2">
      <c r="C558" s="7"/>
      <c r="D558" s="7"/>
      <c r="E558" s="7"/>
      <c r="F558" s="7"/>
      <c r="G558" s="7"/>
      <c r="H558" s="7"/>
      <c r="I558" s="7"/>
      <c r="J558" s="7"/>
      <c r="K558" s="7"/>
      <c r="L558" s="7"/>
      <c r="M558" s="7"/>
      <c r="N558" s="7"/>
      <c r="O558" s="7"/>
      <c r="P558" s="7"/>
      <c r="Q558" s="7"/>
      <c r="R558" s="7"/>
      <c r="S558" s="7"/>
      <c r="T558" s="7"/>
      <c r="U558" s="7"/>
      <c r="V558" s="7"/>
      <c r="W558" s="7"/>
      <c r="X558" s="7"/>
      <c r="Y558" s="7"/>
    </row>
    <row r="559" spans="3:25" x14ac:dyDescent="0.2">
      <c r="C559" s="7"/>
      <c r="D559" s="7"/>
      <c r="E559" s="7"/>
      <c r="F559" s="7"/>
      <c r="G559" s="7"/>
      <c r="H559" s="7"/>
      <c r="I559" s="7"/>
      <c r="J559" s="7"/>
      <c r="K559" s="7"/>
      <c r="L559" s="7"/>
      <c r="M559" s="7"/>
      <c r="N559" s="7"/>
      <c r="O559" s="7"/>
      <c r="P559" s="7"/>
      <c r="Q559" s="7"/>
      <c r="R559" s="7"/>
      <c r="S559" s="7"/>
      <c r="T559" s="7"/>
      <c r="U559" s="7"/>
      <c r="V559" s="7"/>
      <c r="W559" s="7"/>
      <c r="X559" s="7"/>
      <c r="Y559" s="7"/>
    </row>
    <row r="560" spans="3:25" x14ac:dyDescent="0.2">
      <c r="C560" s="7"/>
      <c r="D560" s="7"/>
      <c r="E560" s="7"/>
      <c r="F560" s="7"/>
      <c r="G560" s="7"/>
      <c r="H560" s="7"/>
      <c r="I560" s="7"/>
      <c r="J560" s="7"/>
      <c r="K560" s="7"/>
      <c r="L560" s="7"/>
      <c r="M560" s="7"/>
      <c r="N560" s="7"/>
      <c r="O560" s="7"/>
      <c r="P560" s="7"/>
      <c r="Q560" s="7"/>
      <c r="R560" s="7"/>
      <c r="S560" s="7"/>
      <c r="T560" s="7"/>
      <c r="U560" s="7"/>
      <c r="V560" s="7"/>
      <c r="W560" s="7"/>
      <c r="X560" s="7"/>
      <c r="Y560" s="7"/>
    </row>
    <row r="561" spans="3:25" x14ac:dyDescent="0.2">
      <c r="C561" s="7"/>
      <c r="D561" s="7"/>
      <c r="E561" s="7"/>
      <c r="F561" s="7"/>
      <c r="G561" s="7"/>
      <c r="H561" s="7"/>
      <c r="I561" s="7"/>
      <c r="J561" s="7"/>
      <c r="K561" s="7"/>
      <c r="L561" s="7"/>
      <c r="M561" s="7"/>
      <c r="N561" s="7"/>
      <c r="O561" s="7"/>
      <c r="P561" s="7"/>
      <c r="Q561" s="7"/>
      <c r="R561" s="7"/>
      <c r="S561" s="7"/>
      <c r="T561" s="7"/>
      <c r="U561" s="7"/>
      <c r="V561" s="7"/>
      <c r="W561" s="7"/>
      <c r="X561" s="7"/>
      <c r="Y561" s="7"/>
    </row>
    <row r="562" spans="3:25" x14ac:dyDescent="0.2">
      <c r="C562" s="7"/>
      <c r="D562" s="7"/>
      <c r="E562" s="7"/>
      <c r="F562" s="7"/>
      <c r="G562" s="7"/>
      <c r="H562" s="7"/>
      <c r="I562" s="7"/>
      <c r="J562" s="7"/>
      <c r="K562" s="7"/>
      <c r="L562" s="7"/>
      <c r="M562" s="7"/>
      <c r="N562" s="7"/>
      <c r="O562" s="7"/>
      <c r="P562" s="7"/>
      <c r="Q562" s="7"/>
      <c r="R562" s="7"/>
      <c r="S562" s="7"/>
      <c r="T562" s="7"/>
      <c r="U562" s="7"/>
      <c r="V562" s="7"/>
      <c r="W562" s="7"/>
      <c r="X562" s="7"/>
      <c r="Y562" s="7"/>
    </row>
    <row r="563" spans="3:25" x14ac:dyDescent="0.2">
      <c r="C563" s="7"/>
      <c r="D563" s="7"/>
      <c r="E563" s="7"/>
      <c r="F563" s="7"/>
      <c r="G563" s="7"/>
      <c r="H563" s="7"/>
      <c r="I563" s="7"/>
      <c r="J563" s="7"/>
      <c r="K563" s="7"/>
      <c r="L563" s="7"/>
      <c r="M563" s="7"/>
      <c r="N563" s="7"/>
      <c r="O563" s="7"/>
      <c r="P563" s="7"/>
      <c r="Q563" s="7"/>
      <c r="R563" s="7"/>
      <c r="S563" s="7"/>
      <c r="T563" s="7"/>
      <c r="U563" s="7"/>
      <c r="V563" s="7"/>
      <c r="W563" s="7"/>
      <c r="X563" s="7"/>
      <c r="Y563" s="7"/>
    </row>
    <row r="564" spans="3:25" x14ac:dyDescent="0.2">
      <c r="C564" s="7"/>
      <c r="D564" s="7"/>
      <c r="E564" s="7"/>
      <c r="F564" s="7"/>
      <c r="G564" s="7"/>
      <c r="H564" s="7"/>
      <c r="I564" s="7"/>
      <c r="J564" s="7"/>
      <c r="K564" s="7"/>
      <c r="L564" s="7"/>
      <c r="M564" s="7"/>
      <c r="N564" s="7"/>
      <c r="O564" s="7"/>
      <c r="P564" s="7"/>
      <c r="Q564" s="7"/>
      <c r="R564" s="7"/>
      <c r="S564" s="7"/>
      <c r="T564" s="7"/>
      <c r="U564" s="7"/>
      <c r="V564" s="7"/>
      <c r="W564" s="7"/>
      <c r="X564" s="7"/>
      <c r="Y564" s="7"/>
    </row>
    <row r="565" spans="3:25" x14ac:dyDescent="0.2">
      <c r="C565" s="7"/>
      <c r="D565" s="7"/>
      <c r="E565" s="7"/>
      <c r="F565" s="7"/>
      <c r="G565" s="7"/>
      <c r="H565" s="7"/>
      <c r="I565" s="7"/>
      <c r="J565" s="7"/>
      <c r="K565" s="7"/>
      <c r="L565" s="7"/>
      <c r="M565" s="7"/>
      <c r="N565" s="7"/>
      <c r="O565" s="7"/>
      <c r="P565" s="7"/>
      <c r="Q565" s="7"/>
      <c r="R565" s="7"/>
      <c r="S565" s="7"/>
      <c r="T565" s="7"/>
      <c r="U565" s="7"/>
      <c r="V565" s="7"/>
      <c r="W565" s="7"/>
      <c r="X565" s="7"/>
      <c r="Y565" s="7"/>
    </row>
    <row r="566" spans="3:25" x14ac:dyDescent="0.2">
      <c r="C566" s="7"/>
      <c r="D566" s="7"/>
      <c r="E566" s="7"/>
      <c r="F566" s="7"/>
      <c r="G566" s="7"/>
      <c r="H566" s="7"/>
      <c r="I566" s="7"/>
      <c r="J566" s="7"/>
      <c r="K566" s="7"/>
      <c r="L566" s="7"/>
      <c r="M566" s="7"/>
      <c r="N566" s="7"/>
      <c r="O566" s="7"/>
      <c r="P566" s="7"/>
      <c r="Q566" s="7"/>
      <c r="R566" s="7"/>
      <c r="S566" s="7"/>
      <c r="T566" s="7"/>
      <c r="U566" s="7"/>
      <c r="V566" s="7"/>
      <c r="W566" s="7"/>
      <c r="X566" s="7"/>
      <c r="Y566" s="7"/>
    </row>
    <row r="567" spans="3:25" x14ac:dyDescent="0.2">
      <c r="C567" s="7"/>
      <c r="D567" s="7"/>
      <c r="E567" s="7"/>
      <c r="F567" s="7"/>
      <c r="G567" s="7"/>
      <c r="H567" s="7"/>
      <c r="I567" s="7"/>
      <c r="J567" s="7"/>
      <c r="K567" s="7"/>
      <c r="L567" s="7"/>
      <c r="M567" s="7"/>
      <c r="N567" s="7"/>
      <c r="O567" s="7"/>
      <c r="P567" s="7"/>
      <c r="Q567" s="7"/>
      <c r="R567" s="7"/>
      <c r="S567" s="7"/>
      <c r="T567" s="7"/>
      <c r="U567" s="7"/>
      <c r="V567" s="7"/>
      <c r="W567" s="7"/>
      <c r="X567" s="7"/>
      <c r="Y567" s="7"/>
    </row>
    <row r="568" spans="3:25" x14ac:dyDescent="0.2">
      <c r="C568" s="7"/>
      <c r="D568" s="7"/>
      <c r="E568" s="7"/>
      <c r="F568" s="7"/>
      <c r="G568" s="7"/>
      <c r="H568" s="7"/>
      <c r="I568" s="7"/>
      <c r="J568" s="7"/>
      <c r="K568" s="7"/>
      <c r="L568" s="7"/>
      <c r="M568" s="7"/>
      <c r="N568" s="7"/>
      <c r="O568" s="7"/>
      <c r="P568" s="7"/>
      <c r="Q568" s="7"/>
      <c r="R568" s="7"/>
      <c r="S568" s="7"/>
      <c r="T568" s="7"/>
      <c r="U568" s="7"/>
      <c r="V568" s="7"/>
      <c r="W568" s="7"/>
      <c r="X568" s="7"/>
      <c r="Y568" s="7"/>
    </row>
    <row r="569" spans="3:25" x14ac:dyDescent="0.2">
      <c r="C569" s="7"/>
      <c r="D569" s="7"/>
      <c r="E569" s="7"/>
      <c r="F569" s="7"/>
      <c r="G569" s="7"/>
      <c r="H569" s="7"/>
      <c r="I569" s="7"/>
      <c r="J569" s="7"/>
      <c r="K569" s="7"/>
      <c r="L569" s="7"/>
      <c r="M569" s="7"/>
      <c r="N569" s="7"/>
      <c r="O569" s="7"/>
      <c r="P569" s="7"/>
      <c r="Q569" s="7"/>
      <c r="R569" s="7"/>
      <c r="S569" s="7"/>
      <c r="T569" s="7"/>
      <c r="U569" s="7"/>
      <c r="V569" s="7"/>
      <c r="W569" s="7"/>
      <c r="X569" s="7"/>
      <c r="Y569" s="7"/>
    </row>
    <row r="570" spans="3:25" x14ac:dyDescent="0.2">
      <c r="C570" s="7"/>
      <c r="D570" s="7"/>
      <c r="E570" s="7"/>
      <c r="F570" s="7"/>
      <c r="G570" s="7"/>
      <c r="H570" s="7"/>
      <c r="I570" s="7"/>
      <c r="J570" s="7"/>
      <c r="K570" s="7"/>
      <c r="L570" s="7"/>
      <c r="M570" s="7"/>
      <c r="N570" s="7"/>
      <c r="O570" s="7"/>
      <c r="P570" s="7"/>
      <c r="Q570" s="7"/>
      <c r="R570" s="7"/>
      <c r="S570" s="7"/>
      <c r="T570" s="7"/>
      <c r="U570" s="7"/>
      <c r="V570" s="7"/>
      <c r="W570" s="7"/>
      <c r="X570" s="7"/>
      <c r="Y570" s="7"/>
    </row>
    <row r="571" spans="3:25" x14ac:dyDescent="0.2">
      <c r="C571" s="7"/>
      <c r="D571" s="7"/>
      <c r="E571" s="7"/>
      <c r="F571" s="7"/>
      <c r="G571" s="7"/>
      <c r="H571" s="7"/>
      <c r="I571" s="7"/>
      <c r="J571" s="7"/>
      <c r="K571" s="7"/>
      <c r="L571" s="7"/>
      <c r="M571" s="7"/>
      <c r="N571" s="7"/>
      <c r="O571" s="7"/>
      <c r="P571" s="7"/>
      <c r="Q571" s="7"/>
      <c r="R571" s="7"/>
      <c r="S571" s="7"/>
      <c r="T571" s="7"/>
      <c r="U571" s="7"/>
      <c r="V571" s="7"/>
      <c r="W571" s="7"/>
      <c r="X571" s="7"/>
      <c r="Y571" s="7"/>
    </row>
    <row r="572" spans="3:25" x14ac:dyDescent="0.2">
      <c r="C572" s="7"/>
      <c r="D572" s="7"/>
      <c r="E572" s="7"/>
      <c r="F572" s="7"/>
      <c r="G572" s="7"/>
      <c r="H572" s="7"/>
      <c r="I572" s="7"/>
      <c r="J572" s="7"/>
      <c r="K572" s="7"/>
      <c r="L572" s="7"/>
      <c r="M572" s="7"/>
      <c r="N572" s="7"/>
      <c r="O572" s="7"/>
      <c r="P572" s="7"/>
      <c r="Q572" s="7"/>
      <c r="R572" s="7"/>
      <c r="S572" s="7"/>
      <c r="T572" s="7"/>
      <c r="U572" s="7"/>
      <c r="V572" s="7"/>
      <c r="W572" s="7"/>
      <c r="X572" s="7"/>
      <c r="Y572" s="7"/>
    </row>
    <row r="573" spans="3:25" x14ac:dyDescent="0.2">
      <c r="C573" s="7"/>
      <c r="D573" s="7"/>
      <c r="E573" s="7"/>
      <c r="F573" s="7"/>
      <c r="G573" s="7"/>
      <c r="H573" s="7"/>
      <c r="I573" s="7"/>
      <c r="J573" s="7"/>
      <c r="K573" s="7"/>
      <c r="L573" s="7"/>
      <c r="M573" s="7"/>
      <c r="N573" s="7"/>
      <c r="O573" s="7"/>
      <c r="P573" s="7"/>
      <c r="Q573" s="7"/>
      <c r="R573" s="7"/>
      <c r="S573" s="7"/>
      <c r="T573" s="7"/>
      <c r="U573" s="7"/>
      <c r="V573" s="7"/>
      <c r="W573" s="7"/>
      <c r="X573" s="7"/>
      <c r="Y573" s="7"/>
    </row>
    <row r="574" spans="3:25" x14ac:dyDescent="0.2">
      <c r="C574" s="7"/>
      <c r="D574" s="7"/>
      <c r="E574" s="7"/>
      <c r="F574" s="7"/>
      <c r="G574" s="7"/>
      <c r="H574" s="7"/>
      <c r="I574" s="7"/>
      <c r="J574" s="7"/>
      <c r="K574" s="7"/>
      <c r="L574" s="7"/>
      <c r="M574" s="7"/>
      <c r="N574" s="7"/>
      <c r="O574" s="7"/>
      <c r="P574" s="7"/>
      <c r="Q574" s="7"/>
      <c r="R574" s="7"/>
      <c r="S574" s="7"/>
      <c r="T574" s="7"/>
      <c r="U574" s="7"/>
      <c r="V574" s="7"/>
      <c r="W574" s="7"/>
      <c r="X574" s="7"/>
      <c r="Y574" s="7"/>
    </row>
    <row r="575" spans="3:25" x14ac:dyDescent="0.2">
      <c r="C575" s="7"/>
      <c r="D575" s="7"/>
      <c r="E575" s="7"/>
      <c r="F575" s="7"/>
      <c r="G575" s="7"/>
      <c r="H575" s="7"/>
      <c r="I575" s="7"/>
      <c r="J575" s="7"/>
      <c r="K575" s="7"/>
      <c r="L575" s="7"/>
      <c r="M575" s="7"/>
      <c r="N575" s="7"/>
      <c r="O575" s="7"/>
      <c r="P575" s="7"/>
      <c r="Q575" s="7"/>
      <c r="R575" s="7"/>
      <c r="S575" s="7"/>
      <c r="T575" s="7"/>
      <c r="U575" s="7"/>
      <c r="V575" s="7"/>
      <c r="W575" s="7"/>
      <c r="X575" s="7"/>
      <c r="Y575" s="7"/>
    </row>
    <row r="576" spans="3:25" x14ac:dyDescent="0.2">
      <c r="C576" s="7"/>
      <c r="D576" s="7"/>
      <c r="E576" s="7"/>
      <c r="F576" s="7"/>
      <c r="G576" s="7"/>
      <c r="H576" s="7"/>
      <c r="I576" s="7"/>
      <c r="J576" s="7"/>
      <c r="K576" s="7"/>
      <c r="L576" s="7"/>
      <c r="M576" s="7"/>
      <c r="N576" s="7"/>
      <c r="O576" s="7"/>
      <c r="P576" s="7"/>
      <c r="Q576" s="7"/>
      <c r="R576" s="7"/>
      <c r="S576" s="7"/>
      <c r="T576" s="7"/>
      <c r="U576" s="7"/>
      <c r="V576" s="7"/>
      <c r="W576" s="7"/>
      <c r="X576" s="7"/>
      <c r="Y576" s="7"/>
    </row>
    <row r="577" spans="3:25" x14ac:dyDescent="0.2">
      <c r="C577" s="7"/>
      <c r="D577" s="7"/>
      <c r="E577" s="7"/>
      <c r="F577" s="7"/>
      <c r="G577" s="7"/>
      <c r="H577" s="7"/>
      <c r="I577" s="7"/>
      <c r="J577" s="7"/>
      <c r="K577" s="7"/>
      <c r="L577" s="7"/>
      <c r="M577" s="7"/>
      <c r="N577" s="7"/>
      <c r="O577" s="7"/>
      <c r="P577" s="7"/>
      <c r="Q577" s="7"/>
      <c r="R577" s="7"/>
      <c r="S577" s="7"/>
      <c r="T577" s="7"/>
      <c r="U577" s="7"/>
      <c r="V577" s="7"/>
      <c r="W577" s="7"/>
      <c r="X577" s="7"/>
      <c r="Y577" s="7"/>
    </row>
    <row r="578" spans="3:25" x14ac:dyDescent="0.2">
      <c r="C578" s="7"/>
      <c r="D578" s="7"/>
      <c r="E578" s="7"/>
      <c r="F578" s="7"/>
      <c r="G578" s="7"/>
      <c r="H578" s="7"/>
      <c r="I578" s="7"/>
      <c r="J578" s="7"/>
      <c r="K578" s="7"/>
      <c r="L578" s="7"/>
      <c r="M578" s="7"/>
      <c r="N578" s="7"/>
      <c r="O578" s="7"/>
      <c r="P578" s="7"/>
      <c r="Q578" s="7"/>
      <c r="R578" s="7"/>
      <c r="S578" s="7"/>
      <c r="T578" s="7"/>
      <c r="U578" s="7"/>
      <c r="V578" s="7"/>
      <c r="W578" s="7"/>
      <c r="X578" s="7"/>
      <c r="Y578" s="7"/>
    </row>
    <row r="579" spans="3:25" x14ac:dyDescent="0.2">
      <c r="C579" s="7"/>
      <c r="D579" s="7"/>
      <c r="E579" s="7"/>
      <c r="F579" s="7"/>
      <c r="G579" s="7"/>
      <c r="H579" s="7"/>
      <c r="I579" s="7"/>
      <c r="J579" s="7"/>
      <c r="K579" s="7"/>
      <c r="L579" s="7"/>
      <c r="M579" s="7"/>
      <c r="N579" s="7"/>
      <c r="O579" s="7"/>
      <c r="P579" s="7"/>
      <c r="Q579" s="7"/>
      <c r="R579" s="7"/>
      <c r="S579" s="7"/>
      <c r="T579" s="7"/>
      <c r="U579" s="7"/>
      <c r="V579" s="7"/>
      <c r="W579" s="7"/>
      <c r="X579" s="7"/>
      <c r="Y579" s="7"/>
    </row>
    <row r="580" spans="3:25" x14ac:dyDescent="0.2">
      <c r="C580" s="7"/>
      <c r="D580" s="7"/>
      <c r="E580" s="7"/>
      <c r="F580" s="7"/>
      <c r="G580" s="7"/>
      <c r="H580" s="7"/>
      <c r="I580" s="7"/>
      <c r="J580" s="7"/>
      <c r="K580" s="7"/>
      <c r="L580" s="7"/>
      <c r="M580" s="7"/>
      <c r="N580" s="7"/>
      <c r="O580" s="7"/>
      <c r="P580" s="7"/>
      <c r="Q580" s="7"/>
      <c r="R580" s="7"/>
      <c r="S580" s="7"/>
      <c r="T580" s="7"/>
      <c r="U580" s="7"/>
      <c r="V580" s="7"/>
      <c r="W580" s="7"/>
      <c r="X580" s="7"/>
      <c r="Y580" s="7"/>
    </row>
    <row r="581" spans="3:25" x14ac:dyDescent="0.2">
      <c r="C581" s="7"/>
      <c r="D581" s="7"/>
      <c r="E581" s="7"/>
      <c r="F581" s="7"/>
      <c r="G581" s="7"/>
      <c r="H581" s="7"/>
      <c r="I581" s="7"/>
      <c r="J581" s="7"/>
      <c r="K581" s="7"/>
      <c r="L581" s="7"/>
      <c r="M581" s="7"/>
      <c r="N581" s="7"/>
      <c r="O581" s="7"/>
      <c r="P581" s="7"/>
      <c r="Q581" s="7"/>
      <c r="R581" s="7"/>
      <c r="S581" s="7"/>
      <c r="T581" s="7"/>
      <c r="U581" s="7"/>
      <c r="V581" s="7"/>
      <c r="W581" s="7"/>
      <c r="X581" s="7"/>
      <c r="Y581" s="7"/>
    </row>
    <row r="582" spans="3:25" x14ac:dyDescent="0.2">
      <c r="C582" s="7"/>
      <c r="D582" s="7"/>
      <c r="E582" s="7"/>
      <c r="F582" s="7"/>
      <c r="G582" s="7"/>
      <c r="H582" s="7"/>
      <c r="I582" s="7"/>
      <c r="J582" s="7"/>
      <c r="K582" s="7"/>
      <c r="L582" s="7"/>
      <c r="M582" s="7"/>
      <c r="N582" s="7"/>
      <c r="O582" s="7"/>
      <c r="P582" s="7"/>
      <c r="Q582" s="7"/>
      <c r="R582" s="7"/>
      <c r="S582" s="7"/>
      <c r="T582" s="7"/>
      <c r="U582" s="7"/>
      <c r="V582" s="7"/>
      <c r="W582" s="7"/>
      <c r="X582" s="7"/>
      <c r="Y582" s="7"/>
    </row>
    <row r="583" spans="3:25" x14ac:dyDescent="0.2">
      <c r="C583" s="7"/>
      <c r="D583" s="7"/>
      <c r="E583" s="7"/>
      <c r="F583" s="7"/>
      <c r="G583" s="7"/>
      <c r="H583" s="7"/>
      <c r="I583" s="7"/>
      <c r="J583" s="7"/>
      <c r="K583" s="7"/>
      <c r="L583" s="7"/>
      <c r="M583" s="7"/>
      <c r="N583" s="7"/>
      <c r="O583" s="7"/>
      <c r="P583" s="7"/>
      <c r="Q583" s="7"/>
      <c r="R583" s="7"/>
      <c r="S583" s="7"/>
      <c r="T583" s="7"/>
      <c r="U583" s="7"/>
      <c r="V583" s="7"/>
      <c r="W583" s="7"/>
      <c r="X583" s="7"/>
      <c r="Y583" s="7"/>
    </row>
    <row r="584" spans="3:25" x14ac:dyDescent="0.2">
      <c r="C584" s="7"/>
      <c r="D584" s="7"/>
      <c r="E584" s="7"/>
      <c r="F584" s="7"/>
      <c r="G584" s="7"/>
      <c r="H584" s="7"/>
      <c r="I584" s="7"/>
      <c r="J584" s="7"/>
      <c r="K584" s="7"/>
      <c r="L584" s="7"/>
      <c r="M584" s="7"/>
      <c r="N584" s="7"/>
      <c r="O584" s="7"/>
      <c r="P584" s="7"/>
      <c r="Q584" s="7"/>
      <c r="R584" s="7"/>
      <c r="S584" s="7"/>
      <c r="T584" s="7"/>
      <c r="U584" s="7"/>
      <c r="V584" s="7"/>
      <c r="W584" s="7"/>
      <c r="X584" s="7"/>
      <c r="Y584" s="7"/>
    </row>
    <row r="585" spans="3:25" x14ac:dyDescent="0.2">
      <c r="C585" s="7"/>
      <c r="D585" s="7"/>
      <c r="E585" s="7"/>
      <c r="F585" s="7"/>
      <c r="G585" s="7"/>
      <c r="H585" s="7"/>
      <c r="I585" s="7"/>
      <c r="J585" s="7"/>
      <c r="K585" s="7"/>
      <c r="L585" s="7"/>
      <c r="M585" s="7"/>
      <c r="N585" s="7"/>
      <c r="O585" s="7"/>
      <c r="P585" s="7"/>
      <c r="Q585" s="7"/>
      <c r="R585" s="7"/>
      <c r="S585" s="7"/>
      <c r="T585" s="7"/>
      <c r="U585" s="7"/>
      <c r="V585" s="7"/>
      <c r="W585" s="7"/>
      <c r="X585" s="7"/>
      <c r="Y585" s="7"/>
    </row>
    <row r="586" spans="3:25" x14ac:dyDescent="0.2">
      <c r="C586" s="7"/>
      <c r="D586" s="7"/>
      <c r="E586" s="7"/>
      <c r="F586" s="7"/>
      <c r="G586" s="7"/>
      <c r="H586" s="7"/>
      <c r="I586" s="7"/>
      <c r="J586" s="7"/>
      <c r="K586" s="7"/>
      <c r="L586" s="7"/>
      <c r="M586" s="7"/>
      <c r="N586" s="7"/>
      <c r="O586" s="7"/>
      <c r="P586" s="7"/>
      <c r="Q586" s="7"/>
      <c r="R586" s="7"/>
      <c r="S586" s="7"/>
      <c r="T586" s="7"/>
      <c r="U586" s="7"/>
      <c r="V586" s="7"/>
      <c r="W586" s="7"/>
      <c r="X586" s="7"/>
      <c r="Y586" s="7"/>
    </row>
    <row r="587" spans="3:25" x14ac:dyDescent="0.2">
      <c r="C587" s="7"/>
      <c r="D587" s="7"/>
      <c r="E587" s="7"/>
      <c r="F587" s="7"/>
      <c r="G587" s="7"/>
      <c r="H587" s="7"/>
      <c r="I587" s="7"/>
      <c r="J587" s="7"/>
      <c r="K587" s="7"/>
      <c r="L587" s="7"/>
      <c r="M587" s="7"/>
      <c r="N587" s="7"/>
      <c r="O587" s="7"/>
      <c r="P587" s="7"/>
      <c r="Q587" s="7"/>
      <c r="R587" s="7"/>
      <c r="S587" s="7"/>
      <c r="T587" s="7"/>
      <c r="U587" s="7"/>
      <c r="V587" s="7"/>
      <c r="W587" s="7"/>
      <c r="X587" s="7"/>
      <c r="Y587" s="7"/>
    </row>
    <row r="588" spans="3:25" x14ac:dyDescent="0.2">
      <c r="C588" s="7"/>
      <c r="D588" s="7"/>
      <c r="E588" s="7"/>
      <c r="F588" s="7"/>
      <c r="G588" s="7"/>
      <c r="H588" s="7"/>
      <c r="I588" s="7"/>
      <c r="J588" s="7"/>
      <c r="K588" s="7"/>
      <c r="L588" s="7"/>
      <c r="M588" s="7"/>
      <c r="N588" s="7"/>
      <c r="O588" s="7"/>
      <c r="P588" s="7"/>
      <c r="Q588" s="7"/>
      <c r="R588" s="7"/>
      <c r="S588" s="7"/>
      <c r="T588" s="7"/>
      <c r="U588" s="7"/>
      <c r="V588" s="7"/>
      <c r="W588" s="7"/>
      <c r="X588" s="7"/>
      <c r="Y588" s="7"/>
    </row>
    <row r="589" spans="3:25" x14ac:dyDescent="0.2">
      <c r="C589" s="7"/>
      <c r="D589" s="7"/>
      <c r="E589" s="7"/>
      <c r="F589" s="7"/>
      <c r="G589" s="7"/>
      <c r="H589" s="7"/>
      <c r="I589" s="7"/>
      <c r="J589" s="7"/>
      <c r="K589" s="7"/>
      <c r="L589" s="7"/>
      <c r="M589" s="7"/>
      <c r="N589" s="7"/>
      <c r="O589" s="7"/>
      <c r="P589" s="7"/>
      <c r="Q589" s="7"/>
      <c r="R589" s="7"/>
      <c r="S589" s="7"/>
      <c r="T589" s="7"/>
      <c r="U589" s="7"/>
      <c r="V589" s="7"/>
      <c r="W589" s="7"/>
      <c r="X589" s="7"/>
      <c r="Y589" s="7"/>
    </row>
    <row r="590" spans="3:25" x14ac:dyDescent="0.2">
      <c r="C590" s="7"/>
      <c r="D590" s="7"/>
      <c r="E590" s="7"/>
      <c r="F590" s="7"/>
      <c r="G590" s="7"/>
      <c r="H590" s="7"/>
      <c r="I590" s="7"/>
      <c r="J590" s="7"/>
      <c r="K590" s="7"/>
      <c r="L590" s="7"/>
      <c r="M590" s="7"/>
      <c r="N590" s="7"/>
      <c r="O590" s="7"/>
      <c r="P590" s="7"/>
      <c r="Q590" s="7"/>
      <c r="R590" s="7"/>
      <c r="S590" s="7"/>
      <c r="T590" s="7"/>
      <c r="U590" s="7"/>
      <c r="V590" s="7"/>
      <c r="W590" s="7"/>
      <c r="X590" s="7"/>
      <c r="Y590" s="7"/>
    </row>
    <row r="591" spans="3:25" x14ac:dyDescent="0.2">
      <c r="C591" s="7"/>
      <c r="D591" s="7"/>
      <c r="E591" s="7"/>
      <c r="F591" s="7"/>
      <c r="G591" s="7"/>
      <c r="H591" s="7"/>
      <c r="I591" s="7"/>
      <c r="J591" s="7"/>
      <c r="K591" s="7"/>
      <c r="L591" s="7"/>
      <c r="M591" s="7"/>
      <c r="N591" s="7"/>
      <c r="O591" s="7"/>
      <c r="P591" s="7"/>
      <c r="Q591" s="7"/>
      <c r="R591" s="7"/>
      <c r="S591" s="7"/>
      <c r="T591" s="7"/>
      <c r="U591" s="7"/>
      <c r="V591" s="7"/>
      <c r="W591" s="7"/>
      <c r="X591" s="7"/>
      <c r="Y591" s="7"/>
    </row>
    <row r="592" spans="3:25" x14ac:dyDescent="0.2">
      <c r="C592" s="7"/>
      <c r="D592" s="7"/>
      <c r="E592" s="7"/>
      <c r="F592" s="7"/>
      <c r="G592" s="7"/>
      <c r="H592" s="7"/>
      <c r="I592" s="7"/>
      <c r="J592" s="7"/>
      <c r="K592" s="7"/>
      <c r="L592" s="7"/>
      <c r="M592" s="7"/>
      <c r="N592" s="7"/>
      <c r="O592" s="7"/>
      <c r="P592" s="7"/>
      <c r="Q592" s="7"/>
      <c r="R592" s="7"/>
      <c r="S592" s="7"/>
      <c r="T592" s="7"/>
      <c r="U592" s="7"/>
      <c r="V592" s="7"/>
      <c r="W592" s="7"/>
      <c r="X592" s="7"/>
      <c r="Y592" s="7"/>
    </row>
    <row r="593" spans="3:25" x14ac:dyDescent="0.2">
      <c r="C593" s="7"/>
      <c r="D593" s="7"/>
      <c r="E593" s="7"/>
      <c r="F593" s="7"/>
      <c r="G593" s="7"/>
      <c r="H593" s="7"/>
      <c r="I593" s="7"/>
      <c r="J593" s="7"/>
      <c r="K593" s="7"/>
      <c r="L593" s="7"/>
      <c r="M593" s="7"/>
      <c r="N593" s="7"/>
      <c r="O593" s="7"/>
      <c r="P593" s="7"/>
      <c r="Q593" s="7"/>
      <c r="R593" s="7"/>
      <c r="S593" s="7"/>
      <c r="T593" s="7"/>
      <c r="U593" s="7"/>
      <c r="V593" s="7"/>
      <c r="W593" s="7"/>
      <c r="X593" s="7"/>
      <c r="Y593" s="7"/>
    </row>
    <row r="594" spans="3:25" x14ac:dyDescent="0.2">
      <c r="C594" s="7"/>
      <c r="D594" s="7"/>
      <c r="E594" s="7"/>
      <c r="F594" s="7"/>
      <c r="G594" s="7"/>
      <c r="H594" s="7"/>
      <c r="I594" s="7"/>
      <c r="J594" s="7"/>
      <c r="K594" s="7"/>
      <c r="L594" s="7"/>
      <c r="M594" s="7"/>
      <c r="N594" s="7"/>
      <c r="O594" s="7"/>
      <c r="P594" s="7"/>
      <c r="Q594" s="7"/>
      <c r="R594" s="7"/>
      <c r="S594" s="7"/>
      <c r="T594" s="7"/>
      <c r="U594" s="7"/>
      <c r="V594" s="7"/>
      <c r="W594" s="7"/>
      <c r="X594" s="7"/>
      <c r="Y594" s="7"/>
    </row>
    <row r="595" spans="3:25" x14ac:dyDescent="0.2">
      <c r="C595" s="7"/>
      <c r="D595" s="7"/>
      <c r="E595" s="7"/>
      <c r="F595" s="7"/>
      <c r="G595" s="7"/>
      <c r="H595" s="7"/>
      <c r="I595" s="7"/>
      <c r="J595" s="7"/>
      <c r="K595" s="7"/>
      <c r="L595" s="7"/>
      <c r="M595" s="7"/>
      <c r="N595" s="7"/>
      <c r="O595" s="7"/>
      <c r="P595" s="7"/>
      <c r="Q595" s="7"/>
      <c r="R595" s="7"/>
      <c r="S595" s="7"/>
      <c r="T595" s="7"/>
      <c r="U595" s="7"/>
      <c r="V595" s="7"/>
      <c r="W595" s="7"/>
      <c r="X595" s="7"/>
      <c r="Y595" s="7"/>
    </row>
    <row r="596" spans="3:25" x14ac:dyDescent="0.2">
      <c r="C596" s="7"/>
      <c r="D596" s="7"/>
      <c r="E596" s="7"/>
      <c r="F596" s="7"/>
      <c r="G596" s="7"/>
      <c r="H596" s="7"/>
      <c r="I596" s="7"/>
      <c r="J596" s="7"/>
      <c r="K596" s="7"/>
      <c r="L596" s="7"/>
      <c r="M596" s="7"/>
      <c r="N596" s="7"/>
      <c r="O596" s="7"/>
      <c r="P596" s="7"/>
      <c r="Q596" s="7"/>
      <c r="R596" s="7"/>
      <c r="S596" s="7"/>
      <c r="T596" s="7"/>
      <c r="U596" s="7"/>
      <c r="V596" s="7"/>
      <c r="W596" s="7"/>
      <c r="X596" s="7"/>
      <c r="Y596" s="7"/>
    </row>
    <row r="597" spans="3:25" x14ac:dyDescent="0.2">
      <c r="C597" s="7"/>
      <c r="D597" s="7"/>
      <c r="E597" s="7"/>
      <c r="F597" s="7"/>
      <c r="G597" s="7"/>
      <c r="H597" s="7"/>
      <c r="I597" s="7"/>
      <c r="J597" s="7"/>
      <c r="K597" s="7"/>
      <c r="L597" s="7"/>
      <c r="M597" s="7"/>
      <c r="N597" s="7"/>
      <c r="O597" s="7"/>
      <c r="P597" s="7"/>
      <c r="Q597" s="7"/>
      <c r="R597" s="7"/>
      <c r="S597" s="7"/>
      <c r="T597" s="7"/>
      <c r="U597" s="7"/>
      <c r="V597" s="7"/>
      <c r="W597" s="7"/>
      <c r="X597" s="7"/>
      <c r="Y597" s="7"/>
    </row>
    <row r="598" spans="3:25" x14ac:dyDescent="0.2">
      <c r="C598" s="7"/>
      <c r="D598" s="7"/>
      <c r="E598" s="7"/>
      <c r="F598" s="7"/>
      <c r="G598" s="7"/>
      <c r="H598" s="7"/>
      <c r="I598" s="7"/>
      <c r="J598" s="7"/>
      <c r="K598" s="7"/>
      <c r="L598" s="7"/>
      <c r="M598" s="7"/>
      <c r="N598" s="7"/>
      <c r="O598" s="7"/>
      <c r="P598" s="7"/>
      <c r="Q598" s="7"/>
      <c r="R598" s="7"/>
      <c r="S598" s="7"/>
      <c r="T598" s="7"/>
      <c r="U598" s="7"/>
      <c r="V598" s="7"/>
      <c r="W598" s="7"/>
      <c r="X598" s="7"/>
      <c r="Y598" s="7"/>
    </row>
    <row r="599" spans="3:25" x14ac:dyDescent="0.2">
      <c r="C599" s="7"/>
      <c r="D599" s="7"/>
      <c r="E599" s="7"/>
      <c r="F599" s="7"/>
      <c r="G599" s="7"/>
      <c r="H599" s="7"/>
      <c r="I599" s="7"/>
      <c r="J599" s="7"/>
      <c r="K599" s="7"/>
      <c r="L599" s="7"/>
      <c r="M599" s="7"/>
      <c r="N599" s="7"/>
      <c r="O599" s="7"/>
      <c r="P599" s="7"/>
      <c r="Q599" s="7"/>
      <c r="R599" s="7"/>
      <c r="S599" s="7"/>
      <c r="T599" s="7"/>
      <c r="U599" s="7"/>
      <c r="V599" s="7"/>
      <c r="W599" s="7"/>
      <c r="X599" s="7"/>
      <c r="Y599" s="7"/>
    </row>
    <row r="600" spans="3:25" x14ac:dyDescent="0.2">
      <c r="C600" s="7"/>
      <c r="D600" s="7"/>
      <c r="E600" s="7"/>
      <c r="F600" s="7"/>
      <c r="G600" s="7"/>
      <c r="H600" s="7"/>
      <c r="I600" s="7"/>
      <c r="J600" s="7"/>
      <c r="K600" s="7"/>
      <c r="L600" s="7"/>
      <c r="M600" s="7"/>
      <c r="N600" s="7"/>
      <c r="O600" s="7"/>
      <c r="P600" s="7"/>
      <c r="Q600" s="7"/>
      <c r="R600" s="7"/>
      <c r="S600" s="7"/>
      <c r="T600" s="7"/>
      <c r="U600" s="7"/>
      <c r="V600" s="7"/>
      <c r="W600" s="7"/>
      <c r="X600" s="7"/>
      <c r="Y600" s="7"/>
    </row>
    <row r="601" spans="3:25" x14ac:dyDescent="0.2">
      <c r="C601" s="7"/>
      <c r="D601" s="7"/>
      <c r="E601" s="7"/>
      <c r="F601" s="7"/>
      <c r="G601" s="7"/>
      <c r="H601" s="7"/>
      <c r="I601" s="7"/>
      <c r="J601" s="7"/>
      <c r="K601" s="7"/>
      <c r="L601" s="7"/>
      <c r="M601" s="7"/>
      <c r="N601" s="7"/>
      <c r="O601" s="7"/>
      <c r="P601" s="7"/>
      <c r="Q601" s="7"/>
      <c r="R601" s="7"/>
      <c r="S601" s="7"/>
      <c r="T601" s="7"/>
      <c r="U601" s="7"/>
      <c r="V601" s="7"/>
      <c r="W601" s="7"/>
      <c r="X601" s="7"/>
      <c r="Y601" s="7"/>
    </row>
    <row r="602" spans="3:25" x14ac:dyDescent="0.2">
      <c r="C602" s="7"/>
      <c r="D602" s="7"/>
      <c r="E602" s="7"/>
      <c r="F602" s="7"/>
      <c r="G602" s="7"/>
      <c r="H602" s="7"/>
      <c r="I602" s="7"/>
      <c r="J602" s="7"/>
      <c r="K602" s="7"/>
      <c r="L602" s="7"/>
      <c r="M602" s="7"/>
      <c r="N602" s="7"/>
      <c r="O602" s="7"/>
      <c r="P602" s="7"/>
      <c r="Q602" s="7"/>
      <c r="R602" s="7"/>
      <c r="S602" s="7"/>
      <c r="T602" s="7"/>
      <c r="U602" s="7"/>
      <c r="V602" s="7"/>
      <c r="W602" s="7"/>
      <c r="X602" s="7"/>
      <c r="Y602" s="7"/>
    </row>
    <row r="603" spans="3:25" x14ac:dyDescent="0.2">
      <c r="C603" s="7"/>
      <c r="D603" s="7"/>
      <c r="E603" s="7"/>
      <c r="F603" s="7"/>
      <c r="G603" s="7"/>
      <c r="H603" s="7"/>
      <c r="I603" s="7"/>
      <c r="J603" s="7"/>
      <c r="K603" s="7"/>
      <c r="L603" s="7"/>
      <c r="M603" s="7"/>
      <c r="N603" s="7"/>
      <c r="O603" s="7"/>
      <c r="P603" s="7"/>
      <c r="Q603" s="7"/>
      <c r="R603" s="7"/>
      <c r="S603" s="7"/>
      <c r="T603" s="7"/>
      <c r="U603" s="7"/>
      <c r="V603" s="7"/>
      <c r="W603" s="7"/>
      <c r="X603" s="7"/>
      <c r="Y603" s="7"/>
    </row>
    <row r="604" spans="3:25" x14ac:dyDescent="0.2">
      <c r="C604" s="7"/>
      <c r="D604" s="7"/>
      <c r="E604" s="7"/>
      <c r="F604" s="7"/>
      <c r="G604" s="7"/>
      <c r="H604" s="7"/>
      <c r="I604" s="7"/>
      <c r="J604" s="7"/>
      <c r="K604" s="7"/>
      <c r="L604" s="7"/>
      <c r="M604" s="7"/>
      <c r="N604" s="7"/>
      <c r="O604" s="7"/>
      <c r="P604" s="7"/>
      <c r="Q604" s="7"/>
      <c r="R604" s="7"/>
      <c r="S604" s="7"/>
      <c r="T604" s="7"/>
      <c r="U604" s="7"/>
      <c r="V604" s="7"/>
      <c r="W604" s="7"/>
      <c r="X604" s="7"/>
      <c r="Y604" s="7"/>
    </row>
    <row r="605" spans="3:25" x14ac:dyDescent="0.2">
      <c r="C605" s="7"/>
      <c r="D605" s="7"/>
      <c r="E605" s="7"/>
      <c r="F605" s="7"/>
      <c r="G605" s="7"/>
      <c r="H605" s="7"/>
      <c r="I605" s="7"/>
      <c r="J605" s="7"/>
      <c r="K605" s="7"/>
      <c r="L605" s="7"/>
      <c r="M605" s="7"/>
      <c r="N605" s="7"/>
      <c r="O605" s="7"/>
      <c r="P605" s="7"/>
      <c r="Q605" s="7"/>
      <c r="R605" s="7"/>
      <c r="S605" s="7"/>
      <c r="T605" s="7"/>
      <c r="U605" s="7"/>
      <c r="V605" s="7"/>
      <c r="W605" s="7"/>
      <c r="X605" s="7"/>
      <c r="Y605" s="7"/>
    </row>
    <row r="606" spans="3:25" x14ac:dyDescent="0.2">
      <c r="C606" s="7"/>
      <c r="D606" s="7"/>
      <c r="E606" s="7"/>
      <c r="F606" s="7"/>
      <c r="G606" s="7"/>
      <c r="H606" s="7"/>
      <c r="I606" s="7"/>
      <c r="J606" s="7"/>
      <c r="K606" s="7"/>
      <c r="L606" s="7"/>
      <c r="M606" s="7"/>
      <c r="N606" s="7"/>
      <c r="O606" s="7"/>
      <c r="P606" s="7"/>
      <c r="Q606" s="7"/>
      <c r="R606" s="7"/>
      <c r="S606" s="7"/>
      <c r="T606" s="7"/>
      <c r="U606" s="7"/>
      <c r="V606" s="7"/>
      <c r="W606" s="7"/>
      <c r="X606" s="7"/>
      <c r="Y606" s="7"/>
    </row>
    <row r="607" spans="3:25" x14ac:dyDescent="0.2">
      <c r="C607" s="7"/>
      <c r="D607" s="7"/>
      <c r="E607" s="7"/>
      <c r="F607" s="7"/>
      <c r="G607" s="7"/>
      <c r="H607" s="7"/>
      <c r="I607" s="7"/>
      <c r="J607" s="7"/>
      <c r="K607" s="7"/>
      <c r="L607" s="7"/>
      <c r="M607" s="7"/>
      <c r="N607" s="7"/>
      <c r="O607" s="7"/>
      <c r="P607" s="7"/>
      <c r="Q607" s="7"/>
      <c r="R607" s="7"/>
      <c r="S607" s="7"/>
      <c r="T607" s="7"/>
      <c r="U607" s="7"/>
      <c r="V607" s="7"/>
      <c r="W607" s="7"/>
      <c r="X607" s="7"/>
      <c r="Y607" s="7"/>
    </row>
    <row r="608" spans="3:25" x14ac:dyDescent="0.2">
      <c r="C608" s="7"/>
      <c r="D608" s="7"/>
      <c r="E608" s="7"/>
      <c r="F608" s="7"/>
      <c r="G608" s="7"/>
      <c r="H608" s="7"/>
      <c r="I608" s="7"/>
      <c r="J608" s="7"/>
      <c r="K608" s="7"/>
      <c r="L608" s="7"/>
      <c r="M608" s="7"/>
      <c r="N608" s="7"/>
      <c r="O608" s="7"/>
      <c r="P608" s="7"/>
      <c r="Q608" s="7"/>
      <c r="R608" s="7"/>
      <c r="S608" s="7"/>
      <c r="T608" s="7"/>
      <c r="U608" s="7"/>
      <c r="V608" s="7"/>
      <c r="W608" s="7"/>
      <c r="X608" s="7"/>
      <c r="Y608" s="7"/>
    </row>
    <row r="609" spans="3:25" x14ac:dyDescent="0.2">
      <c r="C609" s="7"/>
      <c r="D609" s="7"/>
      <c r="E609" s="7"/>
      <c r="F609" s="7"/>
      <c r="G609" s="7"/>
      <c r="H609" s="7"/>
      <c r="I609" s="7"/>
      <c r="J609" s="7"/>
      <c r="K609" s="7"/>
      <c r="L609" s="7"/>
      <c r="M609" s="7"/>
      <c r="N609" s="7"/>
      <c r="O609" s="7"/>
      <c r="P609" s="7"/>
      <c r="Q609" s="7"/>
      <c r="R609" s="7"/>
      <c r="S609" s="7"/>
      <c r="T609" s="7"/>
      <c r="U609" s="7"/>
      <c r="V609" s="7"/>
      <c r="W609" s="7"/>
      <c r="X609" s="7"/>
      <c r="Y609" s="7"/>
    </row>
    <row r="610" spans="3:25" x14ac:dyDescent="0.2">
      <c r="C610" s="7"/>
      <c r="D610" s="7"/>
      <c r="E610" s="7"/>
      <c r="F610" s="7"/>
      <c r="G610" s="7"/>
      <c r="H610" s="7"/>
      <c r="I610" s="7"/>
      <c r="J610" s="7"/>
      <c r="K610" s="7"/>
      <c r="L610" s="7"/>
      <c r="M610" s="7"/>
      <c r="N610" s="7"/>
      <c r="O610" s="7"/>
      <c r="P610" s="7"/>
      <c r="Q610" s="7"/>
      <c r="R610" s="7"/>
      <c r="S610" s="7"/>
      <c r="T610" s="7"/>
      <c r="U610" s="7"/>
      <c r="V610" s="7"/>
      <c r="W610" s="7"/>
      <c r="X610" s="7"/>
      <c r="Y610" s="7"/>
    </row>
    <row r="611" spans="3:25" x14ac:dyDescent="0.2">
      <c r="C611" s="7"/>
      <c r="D611" s="7"/>
      <c r="E611" s="7"/>
      <c r="F611" s="7"/>
      <c r="G611" s="7"/>
      <c r="H611" s="7"/>
      <c r="I611" s="7"/>
      <c r="J611" s="7"/>
      <c r="K611" s="7"/>
      <c r="L611" s="7"/>
      <c r="M611" s="7"/>
      <c r="N611" s="7"/>
      <c r="O611" s="7"/>
      <c r="P611" s="7"/>
      <c r="Q611" s="7"/>
      <c r="R611" s="7"/>
      <c r="S611" s="7"/>
      <c r="T611" s="7"/>
      <c r="U611" s="7"/>
      <c r="V611" s="7"/>
      <c r="W611" s="7"/>
      <c r="X611" s="7"/>
      <c r="Y611" s="7"/>
    </row>
    <row r="612" spans="3:25" x14ac:dyDescent="0.2">
      <c r="C612" s="7"/>
      <c r="D612" s="7"/>
      <c r="E612" s="7"/>
      <c r="F612" s="7"/>
      <c r="G612" s="7"/>
      <c r="H612" s="7"/>
      <c r="I612" s="7"/>
      <c r="J612" s="7"/>
      <c r="K612" s="7"/>
      <c r="L612" s="7"/>
      <c r="M612" s="7"/>
      <c r="N612" s="7"/>
      <c r="O612" s="7"/>
      <c r="P612" s="7"/>
      <c r="Q612" s="7"/>
      <c r="R612" s="7"/>
      <c r="S612" s="7"/>
      <c r="T612" s="7"/>
      <c r="U612" s="7"/>
      <c r="V612" s="7"/>
      <c r="W612" s="7"/>
      <c r="X612" s="7"/>
      <c r="Y612" s="7"/>
    </row>
    <row r="613" spans="3:25" x14ac:dyDescent="0.2">
      <c r="C613" s="7"/>
      <c r="D613" s="7"/>
      <c r="E613" s="7"/>
      <c r="F613" s="7"/>
      <c r="G613" s="7"/>
      <c r="H613" s="7"/>
      <c r="I613" s="7"/>
      <c r="J613" s="7"/>
      <c r="K613" s="7"/>
      <c r="L613" s="7"/>
      <c r="M613" s="7"/>
      <c r="N613" s="7"/>
      <c r="O613" s="7"/>
      <c r="P613" s="7"/>
      <c r="Q613" s="7"/>
      <c r="R613" s="7"/>
      <c r="S613" s="7"/>
      <c r="T613" s="7"/>
      <c r="U613" s="7"/>
      <c r="V613" s="7"/>
      <c r="W613" s="7"/>
      <c r="X613" s="7"/>
      <c r="Y613" s="7"/>
    </row>
    <row r="614" spans="3:25" x14ac:dyDescent="0.2">
      <c r="C614" s="7"/>
      <c r="D614" s="7"/>
      <c r="E614" s="7"/>
      <c r="F614" s="7"/>
      <c r="G614" s="7"/>
      <c r="H614" s="7"/>
      <c r="I614" s="7"/>
      <c r="J614" s="7"/>
      <c r="K614" s="7"/>
      <c r="L614" s="7"/>
      <c r="M614" s="7"/>
      <c r="N614" s="7"/>
      <c r="O614" s="7"/>
      <c r="P614" s="7"/>
      <c r="Q614" s="7"/>
      <c r="R614" s="7"/>
      <c r="S614" s="7"/>
      <c r="T614" s="7"/>
      <c r="U614" s="7"/>
      <c r="V614" s="7"/>
      <c r="W614" s="7"/>
      <c r="X614" s="7"/>
      <c r="Y614" s="7"/>
    </row>
    <row r="615" spans="3:25" x14ac:dyDescent="0.2">
      <c r="C615" s="7"/>
      <c r="D615" s="7"/>
      <c r="E615" s="7"/>
      <c r="F615" s="7"/>
      <c r="G615" s="7"/>
      <c r="H615" s="7"/>
      <c r="I615" s="7"/>
      <c r="J615" s="7"/>
      <c r="K615" s="7"/>
      <c r="L615" s="7"/>
      <c r="M615" s="7"/>
      <c r="N615" s="7"/>
      <c r="O615" s="7"/>
      <c r="P615" s="7"/>
      <c r="Q615" s="7"/>
      <c r="R615" s="7"/>
      <c r="S615" s="7"/>
      <c r="T615" s="7"/>
      <c r="U615" s="7"/>
      <c r="V615" s="7"/>
      <c r="W615" s="7"/>
      <c r="X615" s="7"/>
      <c r="Y615" s="7"/>
    </row>
    <row r="616" spans="3:25" x14ac:dyDescent="0.2">
      <c r="C616" s="7"/>
      <c r="D616" s="7"/>
      <c r="E616" s="7"/>
      <c r="F616" s="7"/>
      <c r="G616" s="7"/>
      <c r="H616" s="7"/>
      <c r="I616" s="7"/>
      <c r="J616" s="7"/>
      <c r="K616" s="7"/>
      <c r="L616" s="7"/>
      <c r="M616" s="7"/>
      <c r="N616" s="7"/>
      <c r="O616" s="7"/>
      <c r="P616" s="7"/>
      <c r="Q616" s="7"/>
      <c r="R616" s="7"/>
      <c r="S616" s="7"/>
      <c r="T616" s="7"/>
      <c r="U616" s="7"/>
      <c r="V616" s="7"/>
      <c r="W616" s="7"/>
      <c r="X616" s="7"/>
      <c r="Y616" s="7"/>
    </row>
    <row r="617" spans="3:25" x14ac:dyDescent="0.2">
      <c r="C617" s="7"/>
      <c r="D617" s="7"/>
      <c r="E617" s="7"/>
      <c r="F617" s="7"/>
      <c r="G617" s="7"/>
      <c r="H617" s="7"/>
      <c r="I617" s="7"/>
      <c r="J617" s="7"/>
      <c r="K617" s="7"/>
      <c r="L617" s="7"/>
      <c r="M617" s="7"/>
      <c r="N617" s="7"/>
      <c r="O617" s="7"/>
      <c r="P617" s="7"/>
      <c r="Q617" s="7"/>
      <c r="R617" s="7"/>
      <c r="S617" s="7"/>
      <c r="T617" s="7"/>
      <c r="U617" s="7"/>
      <c r="V617" s="7"/>
      <c r="W617" s="7"/>
      <c r="X617" s="7"/>
      <c r="Y617" s="7"/>
    </row>
    <row r="618" spans="3:25" x14ac:dyDescent="0.2">
      <c r="C618" s="7"/>
      <c r="D618" s="7"/>
      <c r="E618" s="7"/>
      <c r="F618" s="7"/>
      <c r="G618" s="7"/>
      <c r="H618" s="7"/>
      <c r="I618" s="7"/>
      <c r="J618" s="7"/>
      <c r="K618" s="7"/>
      <c r="L618" s="7"/>
      <c r="M618" s="7"/>
      <c r="N618" s="7"/>
      <c r="O618" s="7"/>
      <c r="P618" s="7"/>
      <c r="Q618" s="7"/>
      <c r="R618" s="7"/>
      <c r="S618" s="7"/>
      <c r="T618" s="7"/>
      <c r="U618" s="7"/>
      <c r="V618" s="7"/>
      <c r="W618" s="7"/>
      <c r="X618" s="7"/>
      <c r="Y618" s="7"/>
    </row>
    <row r="619" spans="3:25" x14ac:dyDescent="0.2">
      <c r="C619" s="7"/>
      <c r="D619" s="7"/>
      <c r="E619" s="7"/>
      <c r="F619" s="7"/>
      <c r="G619" s="7"/>
      <c r="H619" s="7"/>
      <c r="I619" s="7"/>
      <c r="J619" s="7"/>
      <c r="K619" s="7"/>
      <c r="L619" s="7"/>
      <c r="M619" s="7"/>
      <c r="N619" s="7"/>
      <c r="O619" s="7"/>
      <c r="P619" s="7"/>
      <c r="Q619" s="7"/>
      <c r="R619" s="7"/>
      <c r="S619" s="7"/>
      <c r="T619" s="7"/>
      <c r="U619" s="7"/>
      <c r="V619" s="7"/>
      <c r="W619" s="7"/>
      <c r="X619" s="7"/>
      <c r="Y619" s="7"/>
    </row>
    <row r="620" spans="3:25" x14ac:dyDescent="0.2">
      <c r="C620" s="7"/>
      <c r="D620" s="7"/>
      <c r="E620" s="7"/>
      <c r="F620" s="7"/>
      <c r="G620" s="7"/>
      <c r="H620" s="7"/>
      <c r="I620" s="7"/>
      <c r="J620" s="7"/>
      <c r="K620" s="7"/>
      <c r="L620" s="7"/>
      <c r="M620" s="7"/>
      <c r="N620" s="7"/>
      <c r="O620" s="7"/>
      <c r="P620" s="7"/>
      <c r="Q620" s="7"/>
      <c r="R620" s="7"/>
      <c r="S620" s="7"/>
      <c r="T620" s="7"/>
      <c r="U620" s="7"/>
      <c r="V620" s="7"/>
      <c r="W620" s="7"/>
      <c r="X620" s="7"/>
      <c r="Y620" s="7"/>
    </row>
    <row r="621" spans="3:25" x14ac:dyDescent="0.2">
      <c r="C621" s="7"/>
      <c r="D621" s="7"/>
      <c r="E621" s="7"/>
      <c r="F621" s="7"/>
      <c r="G621" s="7"/>
      <c r="H621" s="7"/>
      <c r="I621" s="7"/>
      <c r="J621" s="7"/>
      <c r="K621" s="7"/>
      <c r="L621" s="7"/>
      <c r="M621" s="7"/>
      <c r="N621" s="7"/>
      <c r="O621" s="7"/>
      <c r="P621" s="7"/>
      <c r="Q621" s="7"/>
      <c r="R621" s="7"/>
      <c r="S621" s="7"/>
      <c r="T621" s="7"/>
      <c r="U621" s="7"/>
      <c r="V621" s="7"/>
      <c r="W621" s="7"/>
      <c r="X621" s="7"/>
      <c r="Y621" s="7"/>
    </row>
    <row r="622" spans="3:25" x14ac:dyDescent="0.2">
      <c r="C622" s="7"/>
      <c r="D622" s="7"/>
      <c r="E622" s="7"/>
      <c r="F622" s="7"/>
      <c r="G622" s="7"/>
      <c r="H622" s="7"/>
      <c r="I622" s="7"/>
      <c r="J622" s="7"/>
      <c r="K622" s="7"/>
      <c r="L622" s="7"/>
      <c r="M622" s="7"/>
      <c r="N622" s="7"/>
      <c r="O622" s="7"/>
      <c r="P622" s="7"/>
      <c r="Q622" s="7"/>
      <c r="R622" s="7"/>
      <c r="S622" s="7"/>
      <c r="T622" s="7"/>
      <c r="U622" s="7"/>
      <c r="V622" s="7"/>
      <c r="W622" s="7"/>
      <c r="X622" s="7"/>
      <c r="Y622" s="7"/>
    </row>
    <row r="623" spans="3:25" x14ac:dyDescent="0.2">
      <c r="C623" s="7"/>
      <c r="D623" s="7"/>
      <c r="E623" s="7"/>
      <c r="F623" s="7"/>
      <c r="G623" s="7"/>
      <c r="H623" s="7"/>
      <c r="I623" s="7"/>
      <c r="J623" s="7"/>
      <c r="K623" s="7"/>
      <c r="L623" s="7"/>
      <c r="M623" s="7"/>
      <c r="N623" s="7"/>
      <c r="O623" s="7"/>
      <c r="P623" s="7"/>
      <c r="Q623" s="7"/>
      <c r="R623" s="7"/>
      <c r="S623" s="7"/>
      <c r="T623" s="7"/>
      <c r="U623" s="7"/>
      <c r="V623" s="7"/>
      <c r="W623" s="7"/>
      <c r="X623" s="7"/>
      <c r="Y623" s="7"/>
    </row>
    <row r="624" spans="3:25" x14ac:dyDescent="0.2">
      <c r="C624" s="7"/>
      <c r="D624" s="7"/>
      <c r="E624" s="7"/>
      <c r="F624" s="7"/>
      <c r="G624" s="7"/>
      <c r="H624" s="7"/>
      <c r="I624" s="7"/>
      <c r="J624" s="7"/>
      <c r="K624" s="7"/>
      <c r="L624" s="7"/>
      <c r="M624" s="7"/>
      <c r="N624" s="7"/>
      <c r="O624" s="7"/>
      <c r="P624" s="7"/>
      <c r="Q624" s="7"/>
      <c r="R624" s="7"/>
      <c r="S624" s="7"/>
      <c r="T624" s="7"/>
      <c r="U624" s="7"/>
      <c r="V624" s="7"/>
      <c r="W624" s="7"/>
      <c r="X624" s="7"/>
      <c r="Y624" s="7"/>
    </row>
    <row r="625" spans="3:25" x14ac:dyDescent="0.2">
      <c r="C625" s="7"/>
      <c r="D625" s="7"/>
      <c r="E625" s="7"/>
      <c r="F625" s="7"/>
      <c r="G625" s="7"/>
      <c r="H625" s="7"/>
      <c r="I625" s="7"/>
      <c r="J625" s="7"/>
      <c r="K625" s="7"/>
      <c r="L625" s="7"/>
      <c r="M625" s="7"/>
      <c r="N625" s="7"/>
      <c r="O625" s="7"/>
      <c r="P625" s="7"/>
      <c r="Q625" s="7"/>
      <c r="R625" s="7"/>
      <c r="S625" s="7"/>
      <c r="T625" s="7"/>
      <c r="U625" s="7"/>
      <c r="V625" s="7"/>
      <c r="W625" s="7"/>
      <c r="X625" s="7"/>
      <c r="Y625" s="7"/>
    </row>
    <row r="626" spans="3:25" x14ac:dyDescent="0.2">
      <c r="C626" s="7"/>
      <c r="D626" s="7"/>
      <c r="E626" s="7"/>
      <c r="F626" s="7"/>
      <c r="G626" s="7"/>
      <c r="H626" s="7"/>
      <c r="I626" s="7"/>
      <c r="J626" s="7"/>
      <c r="K626" s="7"/>
      <c r="L626" s="7"/>
      <c r="M626" s="7"/>
      <c r="N626" s="7"/>
      <c r="O626" s="7"/>
      <c r="P626" s="7"/>
      <c r="Q626" s="7"/>
      <c r="R626" s="7"/>
      <c r="S626" s="7"/>
      <c r="T626" s="7"/>
      <c r="U626" s="7"/>
      <c r="V626" s="7"/>
      <c r="W626" s="7"/>
      <c r="X626" s="7"/>
      <c r="Y626" s="7"/>
    </row>
    <row r="627" spans="3:25" x14ac:dyDescent="0.2">
      <c r="C627" s="7"/>
      <c r="D627" s="7"/>
      <c r="E627" s="7"/>
      <c r="F627" s="7"/>
      <c r="G627" s="7"/>
      <c r="H627" s="7"/>
      <c r="I627" s="7"/>
      <c r="J627" s="7"/>
      <c r="K627" s="7"/>
      <c r="L627" s="7"/>
      <c r="M627" s="7"/>
      <c r="N627" s="7"/>
      <c r="O627" s="7"/>
      <c r="P627" s="7"/>
      <c r="Q627" s="7"/>
      <c r="R627" s="7"/>
      <c r="S627" s="7"/>
      <c r="T627" s="7"/>
      <c r="U627" s="7"/>
      <c r="V627" s="7"/>
      <c r="W627" s="7"/>
      <c r="X627" s="7"/>
      <c r="Y627" s="7"/>
    </row>
    <row r="628" spans="3:25" x14ac:dyDescent="0.2">
      <c r="C628" s="7"/>
      <c r="D628" s="7"/>
      <c r="E628" s="7"/>
      <c r="F628" s="7"/>
      <c r="G628" s="7"/>
      <c r="H628" s="7"/>
      <c r="I628" s="7"/>
      <c r="J628" s="7"/>
      <c r="K628" s="7"/>
      <c r="L628" s="7"/>
      <c r="M628" s="7"/>
      <c r="N628" s="7"/>
      <c r="O628" s="7"/>
      <c r="P628" s="7"/>
      <c r="Q628" s="7"/>
      <c r="R628" s="7"/>
      <c r="S628" s="7"/>
      <c r="T628" s="7"/>
      <c r="U628" s="7"/>
      <c r="V628" s="7"/>
      <c r="W628" s="7"/>
      <c r="X628" s="7"/>
      <c r="Y628" s="7"/>
    </row>
    <row r="629" spans="3:25" x14ac:dyDescent="0.2">
      <c r="C629" s="7"/>
      <c r="D629" s="7"/>
      <c r="E629" s="7"/>
      <c r="F629" s="7"/>
      <c r="G629" s="7"/>
      <c r="H629" s="7"/>
      <c r="I629" s="7"/>
      <c r="J629" s="7"/>
      <c r="K629" s="7"/>
      <c r="L629" s="7"/>
      <c r="M629" s="7"/>
      <c r="N629" s="7"/>
      <c r="O629" s="7"/>
      <c r="P629" s="7"/>
      <c r="Q629" s="7"/>
      <c r="R629" s="7"/>
      <c r="S629" s="7"/>
      <c r="T629" s="7"/>
      <c r="U629" s="7"/>
      <c r="V629" s="7"/>
      <c r="W629" s="7"/>
      <c r="X629" s="7"/>
      <c r="Y629" s="7"/>
    </row>
    <row r="630" spans="3:25" x14ac:dyDescent="0.2">
      <c r="C630" s="7"/>
      <c r="D630" s="7"/>
      <c r="E630" s="7"/>
      <c r="F630" s="7"/>
      <c r="G630" s="7"/>
      <c r="H630" s="7"/>
      <c r="I630" s="7"/>
      <c r="J630" s="7"/>
      <c r="K630" s="7"/>
      <c r="L630" s="7"/>
      <c r="M630" s="7"/>
      <c r="N630" s="7"/>
      <c r="O630" s="7"/>
      <c r="P630" s="7"/>
      <c r="Q630" s="7"/>
      <c r="R630" s="7"/>
      <c r="S630" s="7"/>
      <c r="T630" s="7"/>
      <c r="U630" s="7"/>
      <c r="V630" s="7"/>
      <c r="W630" s="7"/>
      <c r="X630" s="7"/>
      <c r="Y630" s="7"/>
    </row>
    <row r="631" spans="3:25" x14ac:dyDescent="0.2">
      <c r="C631" s="7"/>
      <c r="D631" s="7"/>
      <c r="E631" s="7"/>
      <c r="F631" s="7"/>
      <c r="G631" s="7"/>
      <c r="H631" s="7"/>
      <c r="I631" s="7"/>
      <c r="J631" s="7"/>
      <c r="K631" s="7"/>
      <c r="L631" s="7"/>
      <c r="M631" s="7"/>
      <c r="N631" s="7"/>
      <c r="O631" s="7"/>
      <c r="P631" s="7"/>
      <c r="Q631" s="7"/>
      <c r="R631" s="7"/>
      <c r="S631" s="7"/>
      <c r="T631" s="7"/>
      <c r="U631" s="7"/>
      <c r="V631" s="7"/>
      <c r="W631" s="7"/>
      <c r="X631" s="7"/>
      <c r="Y631" s="7"/>
    </row>
    <row r="632" spans="3:25" x14ac:dyDescent="0.2">
      <c r="C632" s="7"/>
      <c r="D632" s="7"/>
      <c r="E632" s="7"/>
      <c r="F632" s="7"/>
      <c r="G632" s="7"/>
      <c r="H632" s="7"/>
      <c r="I632" s="7"/>
      <c r="J632" s="7"/>
      <c r="K632" s="7"/>
      <c r="L632" s="7"/>
      <c r="M632" s="7"/>
      <c r="N632" s="7"/>
      <c r="O632" s="7"/>
      <c r="P632" s="7"/>
      <c r="Q632" s="7"/>
      <c r="R632" s="7"/>
      <c r="S632" s="7"/>
      <c r="T632" s="7"/>
      <c r="U632" s="7"/>
      <c r="V632" s="7"/>
      <c r="W632" s="7"/>
      <c r="X632" s="7"/>
      <c r="Y632" s="7"/>
    </row>
    <row r="633" spans="3:25" x14ac:dyDescent="0.2">
      <c r="C633" s="7"/>
      <c r="D633" s="7"/>
      <c r="E633" s="7"/>
      <c r="F633" s="7"/>
      <c r="G633" s="7"/>
      <c r="H633" s="7"/>
      <c r="I633" s="7"/>
      <c r="J633" s="7"/>
      <c r="K633" s="7"/>
      <c r="L633" s="7"/>
      <c r="M633" s="7"/>
      <c r="N633" s="7"/>
      <c r="O633" s="7"/>
      <c r="P633" s="7"/>
      <c r="Q633" s="7"/>
      <c r="R633" s="7"/>
      <c r="S633" s="7"/>
      <c r="T633" s="7"/>
      <c r="U633" s="7"/>
      <c r="V633" s="7"/>
      <c r="W633" s="7"/>
      <c r="X633" s="7"/>
      <c r="Y633" s="7"/>
    </row>
    <row r="634" spans="3:25" x14ac:dyDescent="0.2">
      <c r="C634" s="7"/>
      <c r="D634" s="7"/>
      <c r="E634" s="7"/>
      <c r="F634" s="7"/>
      <c r="G634" s="7"/>
      <c r="H634" s="7"/>
      <c r="I634" s="7"/>
      <c r="J634" s="7"/>
      <c r="K634" s="7"/>
      <c r="L634" s="7"/>
      <c r="M634" s="7"/>
      <c r="N634" s="7"/>
      <c r="O634" s="7"/>
      <c r="P634" s="7"/>
      <c r="Q634" s="7"/>
      <c r="R634" s="7"/>
      <c r="S634" s="7"/>
      <c r="T634" s="7"/>
      <c r="U634" s="7"/>
      <c r="V634" s="7"/>
      <c r="W634" s="7"/>
      <c r="X634" s="7"/>
      <c r="Y634" s="7"/>
    </row>
    <row r="635" spans="3:25" x14ac:dyDescent="0.2">
      <c r="C635" s="7"/>
      <c r="D635" s="7"/>
      <c r="E635" s="7"/>
      <c r="F635" s="7"/>
      <c r="G635" s="7"/>
      <c r="H635" s="7"/>
      <c r="I635" s="7"/>
      <c r="J635" s="7"/>
      <c r="K635" s="7"/>
      <c r="L635" s="7"/>
      <c r="M635" s="7"/>
      <c r="N635" s="7"/>
      <c r="O635" s="7"/>
      <c r="P635" s="7"/>
      <c r="Q635" s="7"/>
      <c r="R635" s="7"/>
      <c r="S635" s="7"/>
      <c r="T635" s="7"/>
      <c r="U635" s="7"/>
      <c r="V635" s="7"/>
      <c r="W635" s="7"/>
      <c r="X635" s="7"/>
      <c r="Y635" s="7"/>
    </row>
    <row r="636" spans="3:25" x14ac:dyDescent="0.2">
      <c r="C636" s="7"/>
      <c r="D636" s="7"/>
      <c r="E636" s="7"/>
      <c r="F636" s="7"/>
      <c r="G636" s="7"/>
      <c r="H636" s="7"/>
      <c r="I636" s="7"/>
      <c r="J636" s="7"/>
      <c r="K636" s="7"/>
      <c r="L636" s="7"/>
      <c r="M636" s="7"/>
      <c r="N636" s="7"/>
      <c r="O636" s="7"/>
      <c r="P636" s="7"/>
      <c r="Q636" s="7"/>
      <c r="R636" s="7"/>
      <c r="S636" s="7"/>
      <c r="T636" s="7"/>
      <c r="U636" s="7"/>
      <c r="V636" s="7"/>
      <c r="W636" s="7"/>
      <c r="X636" s="7"/>
      <c r="Y636" s="7"/>
    </row>
    <row r="637" spans="3:25" x14ac:dyDescent="0.2">
      <c r="C637" s="7"/>
      <c r="D637" s="7"/>
      <c r="E637" s="7"/>
      <c r="F637" s="7"/>
      <c r="G637" s="7"/>
      <c r="H637" s="7"/>
      <c r="I637" s="7"/>
      <c r="J637" s="7"/>
      <c r="K637" s="7"/>
      <c r="L637" s="7"/>
      <c r="M637" s="7"/>
      <c r="N637" s="7"/>
      <c r="O637" s="7"/>
      <c r="P637" s="7"/>
      <c r="Q637" s="7"/>
      <c r="R637" s="7"/>
      <c r="S637" s="7"/>
      <c r="T637" s="7"/>
      <c r="U637" s="7"/>
      <c r="V637" s="7"/>
      <c r="W637" s="7"/>
      <c r="X637" s="7"/>
      <c r="Y637" s="7"/>
    </row>
    <row r="638" spans="3:25" x14ac:dyDescent="0.2">
      <c r="C638" s="7"/>
      <c r="D638" s="7"/>
      <c r="E638" s="7"/>
      <c r="F638" s="7"/>
      <c r="G638" s="7"/>
      <c r="H638" s="7"/>
      <c r="I638" s="7"/>
      <c r="J638" s="7"/>
      <c r="K638" s="7"/>
      <c r="L638" s="7"/>
      <c r="M638" s="7"/>
      <c r="N638" s="7"/>
      <c r="O638" s="7"/>
      <c r="P638" s="7"/>
      <c r="Q638" s="7"/>
      <c r="R638" s="7"/>
      <c r="S638" s="7"/>
      <c r="T638" s="7"/>
      <c r="U638" s="7"/>
      <c r="V638" s="7"/>
      <c r="W638" s="7"/>
      <c r="X638" s="7"/>
      <c r="Y638" s="7"/>
    </row>
    <row r="639" spans="3:25" x14ac:dyDescent="0.2">
      <c r="C639" s="7"/>
      <c r="D639" s="7"/>
      <c r="E639" s="7"/>
      <c r="F639" s="7"/>
      <c r="G639" s="7"/>
      <c r="H639" s="7"/>
      <c r="I639" s="7"/>
      <c r="J639" s="7"/>
      <c r="K639" s="7"/>
      <c r="L639" s="7"/>
      <c r="M639" s="7"/>
      <c r="N639" s="7"/>
      <c r="O639" s="7"/>
      <c r="P639" s="7"/>
      <c r="Q639" s="7"/>
      <c r="R639" s="7"/>
      <c r="S639" s="7"/>
      <c r="T639" s="7"/>
      <c r="U639" s="7"/>
      <c r="V639" s="7"/>
      <c r="W639" s="7"/>
      <c r="X639" s="7"/>
      <c r="Y639" s="7"/>
    </row>
    <row r="640" spans="3:25" x14ac:dyDescent="0.2">
      <c r="C640" s="7"/>
      <c r="D640" s="7"/>
      <c r="E640" s="7"/>
      <c r="F640" s="7"/>
      <c r="G640" s="7"/>
      <c r="H640" s="7"/>
      <c r="I640" s="7"/>
      <c r="J640" s="7"/>
      <c r="K640" s="7"/>
      <c r="L640" s="7"/>
      <c r="M640" s="7"/>
      <c r="N640" s="7"/>
      <c r="O640" s="7"/>
      <c r="P640" s="7"/>
      <c r="Q640" s="7"/>
      <c r="R640" s="7"/>
      <c r="S640" s="7"/>
      <c r="T640" s="7"/>
      <c r="U640" s="7"/>
      <c r="V640" s="7"/>
      <c r="W640" s="7"/>
      <c r="X640" s="7"/>
      <c r="Y640" s="7"/>
    </row>
    <row r="641" spans="3:25" x14ac:dyDescent="0.2">
      <c r="C641" s="7"/>
      <c r="D641" s="7"/>
      <c r="E641" s="7"/>
      <c r="F641" s="7"/>
      <c r="G641" s="7"/>
      <c r="H641" s="7"/>
      <c r="I641" s="7"/>
      <c r="J641" s="7"/>
      <c r="K641" s="7"/>
      <c r="L641" s="7"/>
      <c r="M641" s="7"/>
      <c r="N641" s="7"/>
      <c r="O641" s="7"/>
      <c r="P641" s="7"/>
      <c r="Q641" s="7"/>
      <c r="R641" s="7"/>
      <c r="S641" s="7"/>
      <c r="T641" s="7"/>
      <c r="U641" s="7"/>
      <c r="V641" s="7"/>
      <c r="W641" s="7"/>
      <c r="X641" s="7"/>
      <c r="Y641" s="7"/>
    </row>
    <row r="642" spans="3:25" x14ac:dyDescent="0.2">
      <c r="C642" s="7"/>
      <c r="D642" s="7"/>
      <c r="E642" s="7"/>
      <c r="F642" s="7"/>
      <c r="G642" s="7"/>
      <c r="H642" s="7"/>
      <c r="I642" s="7"/>
      <c r="J642" s="7"/>
      <c r="K642" s="7"/>
      <c r="L642" s="7"/>
      <c r="M642" s="7"/>
      <c r="N642" s="7"/>
      <c r="O642" s="7"/>
      <c r="P642" s="7"/>
      <c r="Q642" s="7"/>
      <c r="R642" s="7"/>
      <c r="S642" s="7"/>
      <c r="T642" s="7"/>
      <c r="U642" s="7"/>
      <c r="V642" s="7"/>
      <c r="W642" s="7"/>
      <c r="X642" s="7"/>
      <c r="Y642" s="7"/>
    </row>
    <row r="643" spans="3:25" x14ac:dyDescent="0.2">
      <c r="C643" s="7"/>
      <c r="D643" s="7"/>
      <c r="E643" s="7"/>
      <c r="F643" s="7"/>
      <c r="G643" s="7"/>
      <c r="H643" s="7"/>
      <c r="I643" s="7"/>
      <c r="J643" s="7"/>
      <c r="K643" s="7"/>
      <c r="L643" s="7"/>
      <c r="M643" s="7"/>
      <c r="N643" s="7"/>
      <c r="O643" s="7"/>
      <c r="P643" s="7"/>
      <c r="Q643" s="7"/>
      <c r="R643" s="7"/>
      <c r="S643" s="7"/>
      <c r="T643" s="7"/>
      <c r="U643" s="7"/>
      <c r="V643" s="7"/>
      <c r="W643" s="7"/>
      <c r="X643" s="7"/>
      <c r="Y643" s="7"/>
    </row>
    <row r="644" spans="3:25" x14ac:dyDescent="0.2">
      <c r="C644" s="7"/>
      <c r="D644" s="7"/>
      <c r="E644" s="7"/>
      <c r="F644" s="7"/>
      <c r="G644" s="7"/>
      <c r="H644" s="7"/>
      <c r="I644" s="7"/>
      <c r="J644" s="7"/>
      <c r="K644" s="7"/>
      <c r="L644" s="7"/>
      <c r="M644" s="7"/>
      <c r="N644" s="7"/>
      <c r="O644" s="7"/>
      <c r="P644" s="7"/>
      <c r="Q644" s="7"/>
      <c r="R644" s="7"/>
      <c r="S644" s="7"/>
      <c r="T644" s="7"/>
      <c r="U644" s="7"/>
      <c r="V644" s="7"/>
      <c r="W644" s="7"/>
      <c r="X644" s="7"/>
      <c r="Y644" s="7"/>
    </row>
    <row r="645" spans="3:25" x14ac:dyDescent="0.2">
      <c r="C645" s="7"/>
      <c r="D645" s="7"/>
      <c r="E645" s="7"/>
      <c r="F645" s="7"/>
      <c r="G645" s="7"/>
      <c r="H645" s="7"/>
      <c r="I645" s="7"/>
      <c r="J645" s="7"/>
      <c r="K645" s="7"/>
      <c r="L645" s="7"/>
      <c r="M645" s="7"/>
      <c r="N645" s="7"/>
      <c r="O645" s="7"/>
      <c r="P645" s="7"/>
      <c r="Q645" s="7"/>
      <c r="R645" s="7"/>
      <c r="S645" s="7"/>
      <c r="T645" s="7"/>
      <c r="U645" s="7"/>
      <c r="V645" s="7"/>
      <c r="W645" s="7"/>
      <c r="X645" s="7"/>
      <c r="Y645" s="7"/>
    </row>
    <row r="646" spans="3:25" x14ac:dyDescent="0.2">
      <c r="C646" s="7"/>
      <c r="D646" s="7"/>
      <c r="E646" s="7"/>
      <c r="F646" s="7"/>
      <c r="G646" s="7"/>
      <c r="H646" s="7"/>
      <c r="I646" s="7"/>
      <c r="J646" s="7"/>
      <c r="K646" s="7"/>
      <c r="L646" s="7"/>
      <c r="M646" s="7"/>
      <c r="N646" s="7"/>
      <c r="O646" s="7"/>
      <c r="P646" s="7"/>
      <c r="Q646" s="7"/>
      <c r="R646" s="7"/>
      <c r="S646" s="7"/>
      <c r="T646" s="7"/>
      <c r="U646" s="7"/>
      <c r="V646" s="7"/>
      <c r="W646" s="7"/>
      <c r="X646" s="7"/>
      <c r="Y646" s="7"/>
    </row>
    <row r="647" spans="3:25" x14ac:dyDescent="0.2">
      <c r="C647" s="7"/>
      <c r="D647" s="7"/>
      <c r="E647" s="7"/>
      <c r="F647" s="7"/>
      <c r="G647" s="7"/>
      <c r="H647" s="7"/>
      <c r="I647" s="7"/>
      <c r="J647" s="7"/>
      <c r="K647" s="7"/>
      <c r="L647" s="7"/>
      <c r="M647" s="7"/>
      <c r="N647" s="7"/>
      <c r="O647" s="7"/>
      <c r="P647" s="7"/>
      <c r="Q647" s="7"/>
      <c r="R647" s="7"/>
      <c r="S647" s="7"/>
      <c r="T647" s="7"/>
      <c r="U647" s="7"/>
      <c r="V647" s="7"/>
      <c r="W647" s="7"/>
      <c r="X647" s="7"/>
      <c r="Y647" s="7"/>
    </row>
    <row r="648" spans="3:25" x14ac:dyDescent="0.2">
      <c r="C648" s="7"/>
      <c r="D648" s="7"/>
      <c r="E648" s="7"/>
      <c r="F648" s="7"/>
      <c r="G648" s="7"/>
      <c r="H648" s="7"/>
      <c r="I648" s="7"/>
      <c r="J648" s="7"/>
      <c r="K648" s="7"/>
      <c r="L648" s="7"/>
      <c r="M648" s="7"/>
      <c r="N648" s="7"/>
      <c r="O648" s="7"/>
      <c r="P648" s="7"/>
      <c r="Q648" s="7"/>
      <c r="R648" s="7"/>
      <c r="S648" s="7"/>
      <c r="T648" s="7"/>
      <c r="U648" s="7"/>
      <c r="V648" s="7"/>
      <c r="W648" s="7"/>
      <c r="X648" s="7"/>
      <c r="Y648" s="7"/>
    </row>
    <row r="649" spans="3:25" x14ac:dyDescent="0.2">
      <c r="C649" s="7"/>
      <c r="D649" s="7"/>
      <c r="E649" s="7"/>
      <c r="F649" s="7"/>
      <c r="G649" s="7"/>
      <c r="H649" s="7"/>
      <c r="I649" s="7"/>
      <c r="J649" s="7"/>
      <c r="K649" s="7"/>
      <c r="L649" s="7"/>
      <c r="M649" s="7"/>
      <c r="N649" s="7"/>
      <c r="O649" s="7"/>
      <c r="P649" s="7"/>
      <c r="Q649" s="7"/>
      <c r="R649" s="7"/>
      <c r="S649" s="7"/>
      <c r="T649" s="7"/>
      <c r="U649" s="7"/>
      <c r="V649" s="7"/>
      <c r="W649" s="7"/>
      <c r="X649" s="7"/>
      <c r="Y649" s="7"/>
    </row>
    <row r="650" spans="3:25" x14ac:dyDescent="0.2">
      <c r="C650" s="7"/>
      <c r="D650" s="7"/>
      <c r="E650" s="7"/>
      <c r="F650" s="7"/>
      <c r="G650" s="7"/>
      <c r="H650" s="7"/>
      <c r="I650" s="7"/>
      <c r="J650" s="7"/>
      <c r="K650" s="7"/>
      <c r="L650" s="7"/>
      <c r="M650" s="7"/>
      <c r="N650" s="7"/>
      <c r="O650" s="7"/>
      <c r="P650" s="7"/>
      <c r="Q650" s="7"/>
      <c r="R650" s="7"/>
      <c r="S650" s="7"/>
      <c r="T650" s="7"/>
      <c r="U650" s="7"/>
      <c r="V650" s="7"/>
      <c r="W650" s="7"/>
      <c r="X650" s="7"/>
      <c r="Y650" s="7"/>
    </row>
    <row r="651" spans="3:25" x14ac:dyDescent="0.2">
      <c r="C651" s="7"/>
      <c r="D651" s="7"/>
      <c r="E651" s="7"/>
      <c r="F651" s="7"/>
      <c r="G651" s="7"/>
      <c r="H651" s="7"/>
      <c r="I651" s="7"/>
      <c r="J651" s="7"/>
      <c r="K651" s="7"/>
      <c r="L651" s="7"/>
      <c r="M651" s="7"/>
      <c r="N651" s="7"/>
      <c r="O651" s="7"/>
      <c r="P651" s="7"/>
      <c r="Q651" s="7"/>
      <c r="R651" s="7"/>
      <c r="S651" s="7"/>
      <c r="T651" s="7"/>
      <c r="U651" s="7"/>
      <c r="V651" s="7"/>
      <c r="W651" s="7"/>
      <c r="X651" s="7"/>
      <c r="Y651" s="7"/>
    </row>
    <row r="652" spans="3:25" x14ac:dyDescent="0.2">
      <c r="C652" s="7"/>
      <c r="D652" s="7"/>
      <c r="E652" s="7"/>
      <c r="F652" s="7"/>
      <c r="G652" s="7"/>
      <c r="H652" s="7"/>
      <c r="I652" s="7"/>
      <c r="J652" s="7"/>
      <c r="K652" s="7"/>
      <c r="L652" s="7"/>
      <c r="M652" s="7"/>
      <c r="N652" s="7"/>
      <c r="O652" s="7"/>
      <c r="P652" s="7"/>
      <c r="Q652" s="7"/>
      <c r="R652" s="7"/>
      <c r="S652" s="7"/>
      <c r="T652" s="7"/>
      <c r="U652" s="7"/>
      <c r="V652" s="7"/>
      <c r="W652" s="7"/>
      <c r="X652" s="7"/>
      <c r="Y652" s="7"/>
    </row>
    <row r="653" spans="3:25" x14ac:dyDescent="0.2">
      <c r="C653" s="7"/>
      <c r="D653" s="7"/>
      <c r="E653" s="7"/>
      <c r="F653" s="7"/>
      <c r="G653" s="7"/>
      <c r="H653" s="7"/>
      <c r="I653" s="7"/>
      <c r="J653" s="7"/>
      <c r="K653" s="7"/>
      <c r="L653" s="7"/>
      <c r="M653" s="7"/>
      <c r="N653" s="7"/>
      <c r="O653" s="7"/>
      <c r="P653" s="7"/>
      <c r="Q653" s="7"/>
      <c r="R653" s="7"/>
      <c r="S653" s="7"/>
      <c r="T653" s="7"/>
      <c r="U653" s="7"/>
      <c r="V653" s="7"/>
      <c r="W653" s="7"/>
      <c r="X653" s="7"/>
      <c r="Y653" s="7"/>
    </row>
    <row r="654" spans="3:25" x14ac:dyDescent="0.2">
      <c r="C654" s="7"/>
      <c r="D654" s="7"/>
      <c r="E654" s="7"/>
      <c r="F654" s="7"/>
      <c r="G654" s="7"/>
      <c r="H654" s="7"/>
      <c r="I654" s="7"/>
      <c r="J654" s="7"/>
      <c r="K654" s="7"/>
      <c r="L654" s="7"/>
      <c r="M654" s="7"/>
      <c r="N654" s="7"/>
      <c r="O654" s="7"/>
      <c r="P654" s="7"/>
      <c r="Q654" s="7"/>
      <c r="R654" s="7"/>
      <c r="S654" s="7"/>
      <c r="T654" s="7"/>
      <c r="U654" s="7"/>
      <c r="V654" s="7"/>
      <c r="W654" s="7"/>
      <c r="X654" s="7"/>
      <c r="Y654" s="7"/>
    </row>
    <row r="655" spans="3:25" x14ac:dyDescent="0.2">
      <c r="C655" s="7"/>
      <c r="D655" s="7"/>
      <c r="E655" s="7"/>
      <c r="F655" s="7"/>
      <c r="G655" s="7"/>
      <c r="H655" s="7"/>
      <c r="I655" s="7"/>
      <c r="J655" s="7"/>
      <c r="K655" s="7"/>
      <c r="L655" s="7"/>
      <c r="M655" s="7"/>
      <c r="N655" s="7"/>
      <c r="O655" s="7"/>
      <c r="P655" s="7"/>
      <c r="Q655" s="7"/>
      <c r="R655" s="7"/>
      <c r="S655" s="7"/>
      <c r="T655" s="7"/>
      <c r="U655" s="7"/>
      <c r="V655" s="7"/>
      <c r="W655" s="7"/>
      <c r="X655" s="7"/>
      <c r="Y655" s="7"/>
    </row>
    <row r="656" spans="3:25" x14ac:dyDescent="0.2">
      <c r="C656" s="7"/>
      <c r="D656" s="7"/>
      <c r="E656" s="7"/>
      <c r="F656" s="7"/>
      <c r="G656" s="7"/>
      <c r="H656" s="7"/>
      <c r="I656" s="7"/>
      <c r="J656" s="7"/>
      <c r="K656" s="7"/>
      <c r="L656" s="7"/>
      <c r="M656" s="7"/>
      <c r="N656" s="7"/>
      <c r="O656" s="7"/>
      <c r="P656" s="7"/>
      <c r="Q656" s="7"/>
      <c r="R656" s="7"/>
      <c r="S656" s="7"/>
      <c r="T656" s="7"/>
      <c r="U656" s="7"/>
      <c r="V656" s="7"/>
      <c r="W656" s="7"/>
      <c r="X656" s="7"/>
      <c r="Y656" s="7"/>
    </row>
    <row r="657" spans="3:25" x14ac:dyDescent="0.2">
      <c r="C657" s="7"/>
      <c r="D657" s="7"/>
      <c r="E657" s="7"/>
      <c r="F657" s="7"/>
      <c r="G657" s="7"/>
      <c r="H657" s="7"/>
      <c r="I657" s="7"/>
      <c r="J657" s="7"/>
      <c r="K657" s="7"/>
      <c r="L657" s="7"/>
      <c r="M657" s="7"/>
      <c r="N657" s="7"/>
      <c r="O657" s="7"/>
      <c r="P657" s="7"/>
      <c r="Q657" s="7"/>
      <c r="R657" s="7"/>
      <c r="S657" s="7"/>
      <c r="T657" s="7"/>
      <c r="U657" s="7"/>
      <c r="V657" s="7"/>
      <c r="W657" s="7"/>
      <c r="X657" s="7"/>
      <c r="Y657" s="7"/>
    </row>
    <row r="658" spans="3:25" x14ac:dyDescent="0.2">
      <c r="C658" s="7"/>
      <c r="D658" s="7"/>
      <c r="E658" s="7"/>
      <c r="F658" s="7"/>
      <c r="G658" s="7"/>
      <c r="H658" s="7"/>
      <c r="I658" s="7"/>
      <c r="J658" s="7"/>
      <c r="K658" s="7"/>
      <c r="L658" s="7"/>
      <c r="M658" s="7"/>
      <c r="N658" s="7"/>
      <c r="O658" s="7"/>
      <c r="P658" s="7"/>
      <c r="Q658" s="7"/>
      <c r="R658" s="7"/>
      <c r="S658" s="7"/>
      <c r="T658" s="7"/>
      <c r="U658" s="7"/>
      <c r="V658" s="7"/>
      <c r="W658" s="7"/>
      <c r="X658" s="7"/>
      <c r="Y658" s="7"/>
    </row>
    <row r="659" spans="3:25" x14ac:dyDescent="0.2">
      <c r="C659" s="7"/>
      <c r="D659" s="7"/>
      <c r="E659" s="7"/>
      <c r="F659" s="7"/>
      <c r="G659" s="7"/>
      <c r="H659" s="7"/>
      <c r="I659" s="7"/>
      <c r="J659" s="7"/>
      <c r="K659" s="7"/>
      <c r="L659" s="7"/>
      <c r="M659" s="7"/>
      <c r="N659" s="7"/>
      <c r="O659" s="7"/>
      <c r="P659" s="7"/>
      <c r="Q659" s="7"/>
      <c r="R659" s="7"/>
      <c r="S659" s="7"/>
      <c r="T659" s="7"/>
      <c r="U659" s="7"/>
      <c r="V659" s="7"/>
      <c r="W659" s="7"/>
      <c r="X659" s="7"/>
      <c r="Y659" s="7"/>
    </row>
    <row r="660" spans="3:25" x14ac:dyDescent="0.2">
      <c r="C660" s="7"/>
      <c r="D660" s="7"/>
      <c r="E660" s="7"/>
      <c r="F660" s="7"/>
      <c r="G660" s="7"/>
      <c r="H660" s="7"/>
      <c r="I660" s="7"/>
      <c r="J660" s="7"/>
      <c r="K660" s="7"/>
      <c r="L660" s="7"/>
      <c r="M660" s="7"/>
      <c r="N660" s="7"/>
      <c r="O660" s="7"/>
      <c r="P660" s="7"/>
      <c r="Q660" s="7"/>
      <c r="R660" s="7"/>
      <c r="S660" s="7"/>
      <c r="T660" s="7"/>
      <c r="U660" s="7"/>
      <c r="V660" s="7"/>
      <c r="W660" s="7"/>
      <c r="X660" s="7"/>
      <c r="Y660" s="7"/>
    </row>
    <row r="661" spans="3:25" x14ac:dyDescent="0.2">
      <c r="C661" s="7"/>
      <c r="D661" s="7"/>
      <c r="E661" s="7"/>
      <c r="F661" s="7"/>
      <c r="G661" s="7"/>
      <c r="H661" s="7"/>
      <c r="I661" s="7"/>
      <c r="J661" s="7"/>
      <c r="K661" s="7"/>
      <c r="L661" s="7"/>
      <c r="M661" s="7"/>
      <c r="N661" s="7"/>
      <c r="O661" s="7"/>
      <c r="P661" s="7"/>
      <c r="Q661" s="7"/>
      <c r="R661" s="7"/>
      <c r="S661" s="7"/>
      <c r="T661" s="7"/>
      <c r="U661" s="7"/>
      <c r="V661" s="7"/>
      <c r="W661" s="7"/>
      <c r="X661" s="7"/>
      <c r="Y661" s="7"/>
    </row>
    <row r="662" spans="3:25" x14ac:dyDescent="0.2">
      <c r="C662" s="7"/>
      <c r="D662" s="7"/>
      <c r="E662" s="7"/>
      <c r="F662" s="7"/>
      <c r="G662" s="7"/>
      <c r="H662" s="7"/>
      <c r="I662" s="7"/>
      <c r="J662" s="7"/>
      <c r="K662" s="7"/>
      <c r="L662" s="7"/>
      <c r="M662" s="7"/>
      <c r="N662" s="7"/>
      <c r="O662" s="7"/>
      <c r="P662" s="7"/>
      <c r="Q662" s="7"/>
      <c r="R662" s="7"/>
      <c r="S662" s="7"/>
      <c r="T662" s="7"/>
      <c r="U662" s="7"/>
      <c r="V662" s="7"/>
      <c r="W662" s="7"/>
      <c r="X662" s="7"/>
      <c r="Y662" s="7"/>
    </row>
    <row r="663" spans="3:25" x14ac:dyDescent="0.2">
      <c r="C663" s="7"/>
      <c r="D663" s="7"/>
      <c r="E663" s="7"/>
      <c r="F663" s="7"/>
      <c r="G663" s="7"/>
      <c r="H663" s="7"/>
      <c r="I663" s="7"/>
      <c r="J663" s="7"/>
      <c r="K663" s="7"/>
      <c r="L663" s="7"/>
      <c r="M663" s="7"/>
      <c r="N663" s="7"/>
      <c r="O663" s="7"/>
      <c r="P663" s="7"/>
      <c r="Q663" s="7"/>
      <c r="R663" s="7"/>
      <c r="S663" s="7"/>
      <c r="T663" s="7"/>
      <c r="U663" s="7"/>
      <c r="V663" s="7"/>
      <c r="W663" s="7"/>
      <c r="X663" s="7"/>
      <c r="Y663" s="7"/>
    </row>
    <row r="664" spans="3:25" x14ac:dyDescent="0.2">
      <c r="C664" s="7"/>
      <c r="D664" s="7"/>
      <c r="E664" s="7"/>
      <c r="F664" s="7"/>
      <c r="G664" s="7"/>
      <c r="H664" s="7"/>
      <c r="I664" s="7"/>
      <c r="J664" s="7"/>
      <c r="K664" s="7"/>
      <c r="L664" s="7"/>
      <c r="M664" s="7"/>
      <c r="N664" s="7"/>
      <c r="O664" s="7"/>
      <c r="P664" s="7"/>
      <c r="Q664" s="7"/>
      <c r="R664" s="7"/>
      <c r="S664" s="7"/>
      <c r="T664" s="7"/>
      <c r="U664" s="7"/>
      <c r="V664" s="7"/>
      <c r="W664" s="7"/>
      <c r="X664" s="7"/>
      <c r="Y664" s="7"/>
    </row>
    <row r="665" spans="3:25" x14ac:dyDescent="0.2">
      <c r="C665" s="7"/>
      <c r="D665" s="7"/>
      <c r="E665" s="7"/>
      <c r="F665" s="7"/>
      <c r="G665" s="7"/>
      <c r="H665" s="7"/>
      <c r="I665" s="7"/>
      <c r="J665" s="7"/>
      <c r="K665" s="7"/>
      <c r="L665" s="7"/>
      <c r="M665" s="7"/>
      <c r="N665" s="7"/>
      <c r="O665" s="7"/>
      <c r="P665" s="7"/>
      <c r="Q665" s="7"/>
      <c r="R665" s="7"/>
      <c r="S665" s="7"/>
      <c r="T665" s="7"/>
      <c r="U665" s="7"/>
      <c r="V665" s="7"/>
      <c r="W665" s="7"/>
      <c r="X665" s="7"/>
      <c r="Y665" s="7"/>
    </row>
    <row r="666" spans="3:25" x14ac:dyDescent="0.2">
      <c r="C666" s="7"/>
      <c r="D666" s="7"/>
      <c r="E666" s="7"/>
      <c r="F666" s="7"/>
      <c r="G666" s="7"/>
      <c r="H666" s="7"/>
      <c r="I666" s="7"/>
      <c r="J666" s="7"/>
      <c r="K666" s="7"/>
      <c r="L666" s="7"/>
      <c r="M666" s="7"/>
      <c r="N666" s="7"/>
      <c r="O666" s="7"/>
      <c r="P666" s="7"/>
      <c r="Q666" s="7"/>
      <c r="R666" s="7"/>
      <c r="S666" s="7"/>
      <c r="T666" s="7"/>
      <c r="U666" s="7"/>
      <c r="V666" s="7"/>
      <c r="W666" s="7"/>
      <c r="X666" s="7"/>
      <c r="Y666" s="7"/>
    </row>
    <row r="667" spans="3:25" x14ac:dyDescent="0.2">
      <c r="C667" s="7"/>
      <c r="D667" s="7"/>
      <c r="E667" s="7"/>
      <c r="F667" s="7"/>
      <c r="G667" s="7"/>
      <c r="H667" s="7"/>
      <c r="I667" s="7"/>
      <c r="J667" s="7"/>
      <c r="K667" s="7"/>
      <c r="L667" s="7"/>
      <c r="M667" s="7"/>
      <c r="N667" s="7"/>
      <c r="O667" s="7"/>
      <c r="P667" s="7"/>
      <c r="Q667" s="7"/>
      <c r="R667" s="7"/>
      <c r="S667" s="7"/>
      <c r="T667" s="7"/>
      <c r="U667" s="7"/>
      <c r="V667" s="7"/>
      <c r="W667" s="7"/>
      <c r="X667" s="7"/>
      <c r="Y667" s="7"/>
    </row>
    <row r="668" spans="3:25" x14ac:dyDescent="0.2">
      <c r="C668" s="7"/>
      <c r="D668" s="7"/>
      <c r="E668" s="7"/>
      <c r="F668" s="7"/>
      <c r="G668" s="7"/>
      <c r="H668" s="7"/>
      <c r="I668" s="7"/>
      <c r="J668" s="7"/>
      <c r="K668" s="7"/>
      <c r="L668" s="7"/>
      <c r="M668" s="7"/>
      <c r="N668" s="7"/>
      <c r="O668" s="7"/>
      <c r="P668" s="7"/>
      <c r="Q668" s="7"/>
      <c r="R668" s="7"/>
      <c r="S668" s="7"/>
      <c r="T668" s="7"/>
      <c r="U668" s="7"/>
      <c r="V668" s="7"/>
      <c r="W668" s="7"/>
      <c r="X668" s="7"/>
      <c r="Y668" s="7"/>
    </row>
    <row r="669" spans="3:25" x14ac:dyDescent="0.2">
      <c r="C669" s="7"/>
      <c r="D669" s="7"/>
      <c r="E669" s="7"/>
      <c r="F669" s="7"/>
      <c r="G669" s="7"/>
      <c r="H669" s="7"/>
      <c r="I669" s="7"/>
      <c r="J669" s="7"/>
      <c r="K669" s="7"/>
      <c r="L669" s="7"/>
      <c r="M669" s="7"/>
      <c r="N669" s="7"/>
      <c r="O669" s="7"/>
      <c r="P669" s="7"/>
      <c r="Q669" s="7"/>
      <c r="R669" s="7"/>
      <c r="S669" s="7"/>
      <c r="T669" s="7"/>
      <c r="U669" s="7"/>
      <c r="V669" s="7"/>
      <c r="W669" s="7"/>
      <c r="X669" s="7"/>
      <c r="Y669" s="7"/>
    </row>
    <row r="670" spans="3:25" x14ac:dyDescent="0.2">
      <c r="C670" s="7"/>
      <c r="D670" s="7"/>
      <c r="E670" s="7"/>
      <c r="F670" s="7"/>
      <c r="G670" s="7"/>
      <c r="H670" s="7"/>
      <c r="I670" s="7"/>
      <c r="J670" s="7"/>
      <c r="K670" s="7"/>
      <c r="L670" s="7"/>
      <c r="M670" s="7"/>
      <c r="N670" s="7"/>
      <c r="O670" s="7"/>
      <c r="P670" s="7"/>
      <c r="Q670" s="7"/>
      <c r="R670" s="7"/>
      <c r="S670" s="7"/>
      <c r="T670" s="7"/>
      <c r="U670" s="7"/>
      <c r="V670" s="7"/>
      <c r="W670" s="7"/>
      <c r="X670" s="7"/>
      <c r="Y670" s="7"/>
    </row>
    <row r="671" spans="3:25" x14ac:dyDescent="0.2">
      <c r="C671" s="7"/>
      <c r="D671" s="7"/>
      <c r="E671" s="7"/>
      <c r="F671" s="7"/>
      <c r="G671" s="7"/>
      <c r="H671" s="7"/>
      <c r="I671" s="7"/>
      <c r="J671" s="7"/>
      <c r="K671" s="7"/>
      <c r="L671" s="7"/>
      <c r="M671" s="7"/>
      <c r="N671" s="7"/>
      <c r="O671" s="7"/>
      <c r="P671" s="7"/>
      <c r="Q671" s="7"/>
      <c r="R671" s="7"/>
      <c r="S671" s="7"/>
      <c r="T671" s="7"/>
      <c r="U671" s="7"/>
      <c r="V671" s="7"/>
      <c r="W671" s="7"/>
      <c r="X671" s="7"/>
      <c r="Y671" s="7"/>
    </row>
    <row r="672" spans="3:25" x14ac:dyDescent="0.2">
      <c r="C672" s="7"/>
      <c r="D672" s="7"/>
      <c r="E672" s="7"/>
      <c r="F672" s="7"/>
      <c r="G672" s="7"/>
      <c r="H672" s="7"/>
      <c r="I672" s="7"/>
      <c r="J672" s="7"/>
      <c r="K672" s="7"/>
      <c r="L672" s="7"/>
      <c r="M672" s="7"/>
      <c r="N672" s="7"/>
      <c r="O672" s="7"/>
      <c r="P672" s="7"/>
      <c r="Q672" s="7"/>
      <c r="R672" s="7"/>
      <c r="S672" s="7"/>
      <c r="T672" s="7"/>
      <c r="U672" s="7"/>
      <c r="V672" s="7"/>
      <c r="W672" s="7"/>
      <c r="X672" s="7"/>
      <c r="Y672" s="7"/>
    </row>
    <row r="673" spans="3:25" x14ac:dyDescent="0.2">
      <c r="C673" s="7"/>
      <c r="D673" s="7"/>
      <c r="E673" s="7"/>
      <c r="F673" s="7"/>
      <c r="G673" s="7"/>
      <c r="H673" s="7"/>
      <c r="I673" s="7"/>
      <c r="J673" s="7"/>
      <c r="K673" s="7"/>
      <c r="L673" s="7"/>
      <c r="M673" s="7"/>
      <c r="N673" s="7"/>
      <c r="O673" s="7"/>
      <c r="P673" s="7"/>
      <c r="Q673" s="7"/>
      <c r="R673" s="7"/>
      <c r="S673" s="7"/>
      <c r="T673" s="7"/>
      <c r="U673" s="7"/>
      <c r="V673" s="7"/>
      <c r="W673" s="7"/>
      <c r="X673" s="7"/>
      <c r="Y673" s="7"/>
    </row>
    <row r="674" spans="3:25" x14ac:dyDescent="0.2">
      <c r="C674" s="7"/>
      <c r="D674" s="7"/>
      <c r="E674" s="7"/>
      <c r="F674" s="7"/>
      <c r="G674" s="7"/>
      <c r="H674" s="7"/>
      <c r="I674" s="7"/>
      <c r="J674" s="7"/>
      <c r="K674" s="7"/>
      <c r="L674" s="7"/>
      <c r="M674" s="7"/>
      <c r="N674" s="7"/>
      <c r="O674" s="7"/>
      <c r="P674" s="7"/>
      <c r="Q674" s="7"/>
      <c r="R674" s="7"/>
      <c r="S674" s="7"/>
      <c r="T674" s="7"/>
      <c r="U674" s="7"/>
      <c r="V674" s="7"/>
      <c r="W674" s="7"/>
      <c r="X674" s="7"/>
      <c r="Y674" s="7"/>
    </row>
    <row r="675" spans="3:25" x14ac:dyDescent="0.2">
      <c r="C675" s="7"/>
      <c r="D675" s="7"/>
      <c r="E675" s="7"/>
      <c r="F675" s="7"/>
      <c r="G675" s="7"/>
      <c r="H675" s="7"/>
      <c r="I675" s="7"/>
      <c r="J675" s="7"/>
      <c r="K675" s="7"/>
      <c r="L675" s="7"/>
      <c r="M675" s="7"/>
      <c r="N675" s="7"/>
      <c r="O675" s="7"/>
      <c r="P675" s="7"/>
      <c r="Q675" s="7"/>
      <c r="R675" s="7"/>
      <c r="S675" s="7"/>
      <c r="T675" s="7"/>
      <c r="U675" s="7"/>
      <c r="V675" s="7"/>
      <c r="W675" s="7"/>
      <c r="X675" s="7"/>
      <c r="Y675" s="7"/>
    </row>
    <row r="676" spans="3:25" x14ac:dyDescent="0.2">
      <c r="C676" s="7"/>
      <c r="D676" s="7"/>
      <c r="E676" s="7"/>
      <c r="F676" s="7"/>
      <c r="G676" s="7"/>
      <c r="H676" s="7"/>
      <c r="I676" s="7"/>
      <c r="J676" s="7"/>
      <c r="K676" s="7"/>
      <c r="L676" s="7"/>
      <c r="M676" s="7"/>
      <c r="N676" s="7"/>
      <c r="O676" s="7"/>
      <c r="P676" s="7"/>
      <c r="Q676" s="7"/>
      <c r="R676" s="7"/>
      <c r="S676" s="7"/>
      <c r="T676" s="7"/>
      <c r="U676" s="7"/>
      <c r="V676" s="7"/>
      <c r="W676" s="7"/>
      <c r="X676" s="7"/>
      <c r="Y676" s="7"/>
    </row>
    <row r="677" spans="3:25" x14ac:dyDescent="0.2">
      <c r="C677" s="7"/>
      <c r="D677" s="7"/>
      <c r="E677" s="7"/>
      <c r="F677" s="7"/>
      <c r="G677" s="7"/>
      <c r="H677" s="7"/>
      <c r="I677" s="7"/>
      <c r="J677" s="7"/>
      <c r="K677" s="7"/>
      <c r="L677" s="7"/>
      <c r="M677" s="7"/>
      <c r="N677" s="7"/>
      <c r="O677" s="7"/>
      <c r="P677" s="7"/>
      <c r="Q677" s="7"/>
      <c r="R677" s="7"/>
      <c r="S677" s="7"/>
      <c r="T677" s="7"/>
      <c r="U677" s="7"/>
      <c r="V677" s="7"/>
      <c r="W677" s="7"/>
      <c r="X677" s="7"/>
      <c r="Y677" s="7"/>
    </row>
    <row r="678" spans="3:25" x14ac:dyDescent="0.2">
      <c r="C678" s="7"/>
      <c r="D678" s="7"/>
      <c r="E678" s="7"/>
      <c r="F678" s="7"/>
      <c r="G678" s="7"/>
      <c r="H678" s="7"/>
      <c r="I678" s="7"/>
      <c r="J678" s="7"/>
      <c r="K678" s="7"/>
      <c r="L678" s="7"/>
      <c r="M678" s="7"/>
      <c r="N678" s="7"/>
      <c r="O678" s="7"/>
      <c r="P678" s="7"/>
      <c r="Q678" s="7"/>
      <c r="R678" s="7"/>
      <c r="S678" s="7"/>
      <c r="T678" s="7"/>
      <c r="U678" s="7"/>
      <c r="V678" s="7"/>
      <c r="W678" s="7"/>
      <c r="X678" s="7"/>
      <c r="Y678" s="7"/>
    </row>
    <row r="679" spans="3:25" x14ac:dyDescent="0.2">
      <c r="C679" s="7"/>
      <c r="D679" s="7"/>
      <c r="E679" s="7"/>
      <c r="F679" s="7"/>
      <c r="G679" s="7"/>
      <c r="H679" s="7"/>
      <c r="I679" s="7"/>
      <c r="J679" s="7"/>
      <c r="K679" s="7"/>
      <c r="L679" s="7"/>
      <c r="M679" s="7"/>
      <c r="N679" s="7"/>
      <c r="O679" s="7"/>
      <c r="P679" s="7"/>
      <c r="Q679" s="7"/>
      <c r="R679" s="7"/>
      <c r="S679" s="7"/>
      <c r="T679" s="7"/>
      <c r="U679" s="7"/>
      <c r="V679" s="7"/>
      <c r="W679" s="7"/>
      <c r="X679" s="7"/>
      <c r="Y679" s="7"/>
    </row>
    <row r="680" spans="3:25" x14ac:dyDescent="0.2">
      <c r="C680" s="7"/>
      <c r="D680" s="7"/>
      <c r="E680" s="7"/>
      <c r="F680" s="7"/>
      <c r="G680" s="7"/>
      <c r="H680" s="7"/>
      <c r="I680" s="7"/>
      <c r="J680" s="7"/>
      <c r="K680" s="7"/>
      <c r="L680" s="7"/>
      <c r="M680" s="7"/>
      <c r="N680" s="7"/>
      <c r="O680" s="7"/>
      <c r="P680" s="7"/>
      <c r="Q680" s="7"/>
      <c r="R680" s="7"/>
      <c r="S680" s="7"/>
      <c r="T680" s="7"/>
      <c r="U680" s="7"/>
      <c r="V680" s="7"/>
      <c r="W680" s="7"/>
      <c r="X680" s="7"/>
      <c r="Y680" s="7"/>
    </row>
    <row r="681" spans="3:25" x14ac:dyDescent="0.2">
      <c r="C681" s="7"/>
      <c r="D681" s="7"/>
      <c r="E681" s="7"/>
      <c r="F681" s="7"/>
      <c r="G681" s="7"/>
      <c r="H681" s="7"/>
      <c r="I681" s="7"/>
      <c r="J681" s="7"/>
      <c r="K681" s="7"/>
      <c r="L681" s="7"/>
      <c r="M681" s="7"/>
      <c r="N681" s="7"/>
      <c r="O681" s="7"/>
      <c r="P681" s="7"/>
      <c r="Q681" s="7"/>
      <c r="R681" s="7"/>
      <c r="S681" s="7"/>
      <c r="T681" s="7"/>
      <c r="U681" s="7"/>
      <c r="V681" s="7"/>
      <c r="W681" s="7"/>
      <c r="X681" s="7"/>
      <c r="Y681" s="7"/>
    </row>
    <row r="682" spans="3:25" x14ac:dyDescent="0.2">
      <c r="C682" s="7"/>
      <c r="D682" s="7"/>
      <c r="E682" s="7"/>
      <c r="F682" s="7"/>
      <c r="G682" s="7"/>
      <c r="H682" s="7"/>
      <c r="I682" s="7"/>
      <c r="J682" s="7"/>
      <c r="K682" s="7"/>
      <c r="L682" s="7"/>
      <c r="M682" s="7"/>
      <c r="N682" s="7"/>
      <c r="O682" s="7"/>
      <c r="P682" s="7"/>
      <c r="Q682" s="7"/>
      <c r="R682" s="7"/>
      <c r="S682" s="7"/>
      <c r="T682" s="7"/>
      <c r="U682" s="7"/>
      <c r="V682" s="7"/>
      <c r="W682" s="7"/>
      <c r="X682" s="7"/>
      <c r="Y682" s="7"/>
    </row>
    <row r="683" spans="3:25" x14ac:dyDescent="0.2">
      <c r="C683" s="7"/>
      <c r="D683" s="7"/>
      <c r="E683" s="7"/>
      <c r="F683" s="7"/>
      <c r="G683" s="7"/>
      <c r="H683" s="7"/>
      <c r="I683" s="7"/>
      <c r="J683" s="7"/>
      <c r="K683" s="7"/>
      <c r="L683" s="7"/>
      <c r="M683" s="7"/>
      <c r="N683" s="7"/>
      <c r="O683" s="7"/>
      <c r="P683" s="7"/>
      <c r="Q683" s="7"/>
      <c r="R683" s="7"/>
      <c r="S683" s="7"/>
      <c r="T683" s="7"/>
      <c r="U683" s="7"/>
      <c r="V683" s="7"/>
      <c r="W683" s="7"/>
      <c r="X683" s="7"/>
      <c r="Y683" s="7"/>
    </row>
    <row r="684" spans="3:25" x14ac:dyDescent="0.2">
      <c r="C684" s="7"/>
      <c r="D684" s="7"/>
      <c r="E684" s="7"/>
      <c r="F684" s="7"/>
      <c r="G684" s="7"/>
      <c r="H684" s="7"/>
      <c r="I684" s="7"/>
      <c r="J684" s="7"/>
      <c r="K684" s="7"/>
      <c r="L684" s="7"/>
      <c r="M684" s="7"/>
      <c r="N684" s="7"/>
      <c r="O684" s="7"/>
      <c r="P684" s="7"/>
      <c r="Q684" s="7"/>
      <c r="R684" s="7"/>
      <c r="S684" s="7"/>
      <c r="T684" s="7"/>
      <c r="U684" s="7"/>
      <c r="V684" s="7"/>
      <c r="W684" s="7"/>
      <c r="X684" s="7"/>
      <c r="Y684" s="7"/>
    </row>
    <row r="685" spans="3:25" x14ac:dyDescent="0.2">
      <c r="C685" s="7"/>
      <c r="D685" s="7"/>
      <c r="E685" s="7"/>
      <c r="F685" s="7"/>
      <c r="G685" s="7"/>
      <c r="H685" s="7"/>
      <c r="I685" s="7"/>
      <c r="J685" s="7"/>
      <c r="K685" s="7"/>
      <c r="L685" s="7"/>
      <c r="M685" s="7"/>
      <c r="N685" s="7"/>
      <c r="O685" s="7"/>
      <c r="P685" s="7"/>
      <c r="Q685" s="7"/>
      <c r="R685" s="7"/>
      <c r="S685" s="7"/>
      <c r="T685" s="7"/>
      <c r="U685" s="7"/>
      <c r="V685" s="7"/>
      <c r="W685" s="7"/>
      <c r="X685" s="7"/>
      <c r="Y685" s="7"/>
    </row>
    <row r="686" spans="3:25" x14ac:dyDescent="0.2">
      <c r="C686" s="7"/>
      <c r="D686" s="7"/>
      <c r="E686" s="7"/>
      <c r="F686" s="7"/>
      <c r="G686" s="7"/>
      <c r="H686" s="7"/>
      <c r="I686" s="7"/>
      <c r="J686" s="7"/>
      <c r="K686" s="7"/>
      <c r="L686" s="7"/>
      <c r="M686" s="7"/>
      <c r="N686" s="7"/>
      <c r="O686" s="7"/>
      <c r="P686" s="7"/>
      <c r="Q686" s="7"/>
      <c r="R686" s="7"/>
      <c r="S686" s="7"/>
      <c r="T686" s="7"/>
      <c r="U686" s="7"/>
      <c r="V686" s="7"/>
      <c r="W686" s="7"/>
      <c r="X686" s="7"/>
      <c r="Y686" s="7"/>
    </row>
    <row r="687" spans="3:25" x14ac:dyDescent="0.2">
      <c r="C687" s="7"/>
      <c r="D687" s="7"/>
      <c r="E687" s="7"/>
      <c r="F687" s="7"/>
      <c r="G687" s="7"/>
      <c r="H687" s="7"/>
      <c r="I687" s="7"/>
      <c r="J687" s="7"/>
      <c r="K687" s="7"/>
      <c r="L687" s="7"/>
      <c r="M687" s="7"/>
      <c r="N687" s="7"/>
      <c r="O687" s="7"/>
      <c r="P687" s="7"/>
      <c r="Q687" s="7"/>
      <c r="R687" s="7"/>
      <c r="S687" s="7"/>
      <c r="T687" s="7"/>
      <c r="U687" s="7"/>
      <c r="V687" s="7"/>
      <c r="W687" s="7"/>
      <c r="X687" s="7"/>
      <c r="Y687" s="7"/>
    </row>
    <row r="688" spans="3:25" x14ac:dyDescent="0.2">
      <c r="C688" s="7"/>
      <c r="D688" s="7"/>
      <c r="E688" s="7"/>
      <c r="F688" s="7"/>
      <c r="G688" s="7"/>
      <c r="H688" s="7"/>
      <c r="I688" s="7"/>
      <c r="J688" s="7"/>
      <c r="K688" s="7"/>
      <c r="L688" s="7"/>
      <c r="M688" s="7"/>
      <c r="N688" s="7"/>
      <c r="O688" s="7"/>
      <c r="P688" s="7"/>
      <c r="Q688" s="7"/>
      <c r="R688" s="7"/>
      <c r="S688" s="7"/>
      <c r="T688" s="7"/>
      <c r="U688" s="7"/>
      <c r="V688" s="7"/>
      <c r="W688" s="7"/>
      <c r="X688" s="7"/>
      <c r="Y688" s="7"/>
    </row>
    <row r="689" spans="3:25" x14ac:dyDescent="0.2">
      <c r="C689" s="7"/>
      <c r="D689" s="7"/>
      <c r="E689" s="7"/>
      <c r="F689" s="7"/>
      <c r="G689" s="7"/>
      <c r="H689" s="7"/>
      <c r="I689" s="7"/>
      <c r="J689" s="7"/>
      <c r="K689" s="7"/>
      <c r="L689" s="7"/>
      <c r="M689" s="7"/>
      <c r="N689" s="7"/>
      <c r="O689" s="7"/>
      <c r="P689" s="7"/>
      <c r="Q689" s="7"/>
      <c r="R689" s="7"/>
      <c r="S689" s="7"/>
      <c r="T689" s="7"/>
      <c r="U689" s="7"/>
      <c r="V689" s="7"/>
      <c r="W689" s="7"/>
      <c r="X689" s="7"/>
      <c r="Y689" s="7"/>
    </row>
    <row r="690" spans="3:25" x14ac:dyDescent="0.2">
      <c r="C690" s="7"/>
      <c r="D690" s="7"/>
      <c r="E690" s="7"/>
      <c r="F690" s="7"/>
      <c r="G690" s="7"/>
      <c r="H690" s="7"/>
      <c r="I690" s="7"/>
      <c r="J690" s="7"/>
      <c r="K690" s="7"/>
      <c r="L690" s="7"/>
      <c r="M690" s="7"/>
      <c r="N690" s="7"/>
      <c r="O690" s="7"/>
      <c r="P690" s="7"/>
      <c r="Q690" s="7"/>
      <c r="R690" s="7"/>
      <c r="S690" s="7"/>
      <c r="T690" s="7"/>
      <c r="U690" s="7"/>
      <c r="V690" s="7"/>
      <c r="W690" s="7"/>
      <c r="X690" s="7"/>
      <c r="Y690" s="7"/>
    </row>
    <row r="691" spans="3:25" x14ac:dyDescent="0.2">
      <c r="C691" s="7"/>
      <c r="D691" s="7"/>
      <c r="E691" s="7"/>
      <c r="F691" s="7"/>
      <c r="G691" s="7"/>
      <c r="H691" s="7"/>
      <c r="I691" s="7"/>
      <c r="J691" s="7"/>
      <c r="K691" s="7"/>
      <c r="L691" s="7"/>
      <c r="M691" s="7"/>
      <c r="N691" s="7"/>
      <c r="O691" s="7"/>
      <c r="P691" s="7"/>
      <c r="Q691" s="7"/>
      <c r="R691" s="7"/>
      <c r="S691" s="7"/>
      <c r="T691" s="7"/>
      <c r="U691" s="7"/>
      <c r="V691" s="7"/>
      <c r="W691" s="7"/>
      <c r="X691" s="7"/>
      <c r="Y691" s="7"/>
    </row>
    <row r="692" spans="3:25" x14ac:dyDescent="0.2">
      <c r="C692" s="7"/>
      <c r="D692" s="7"/>
      <c r="E692" s="7"/>
      <c r="F692" s="7"/>
      <c r="G692" s="7"/>
      <c r="H692" s="7"/>
      <c r="I692" s="7"/>
      <c r="J692" s="7"/>
      <c r="K692" s="7"/>
      <c r="L692" s="7"/>
      <c r="M692" s="7"/>
      <c r="N692" s="7"/>
      <c r="O692" s="7"/>
      <c r="P692" s="7"/>
      <c r="Q692" s="7"/>
      <c r="R692" s="7"/>
      <c r="S692" s="7"/>
      <c r="T692" s="7"/>
      <c r="U692" s="7"/>
      <c r="V692" s="7"/>
      <c r="W692" s="7"/>
      <c r="X692" s="7"/>
      <c r="Y692" s="7"/>
    </row>
    <row r="693" spans="3:25" x14ac:dyDescent="0.2">
      <c r="C693" s="7"/>
      <c r="D693" s="7"/>
      <c r="E693" s="7"/>
      <c r="F693" s="7"/>
      <c r="G693" s="7"/>
      <c r="H693" s="7"/>
      <c r="I693" s="7"/>
      <c r="J693" s="7"/>
      <c r="K693" s="7"/>
      <c r="L693" s="7"/>
      <c r="M693" s="7"/>
      <c r="N693" s="7"/>
      <c r="O693" s="7"/>
      <c r="P693" s="7"/>
      <c r="Q693" s="7"/>
      <c r="R693" s="7"/>
      <c r="S693" s="7"/>
      <c r="T693" s="7"/>
      <c r="U693" s="7"/>
      <c r="V693" s="7"/>
      <c r="W693" s="7"/>
      <c r="X693" s="7"/>
      <c r="Y693" s="7"/>
    </row>
    <row r="694" spans="3:25" x14ac:dyDescent="0.2">
      <c r="C694" s="7"/>
      <c r="D694" s="7"/>
      <c r="E694" s="7"/>
      <c r="F694" s="7"/>
      <c r="G694" s="7"/>
      <c r="H694" s="7"/>
      <c r="I694" s="7"/>
      <c r="J694" s="7"/>
      <c r="K694" s="7"/>
      <c r="L694" s="7"/>
      <c r="M694" s="7"/>
      <c r="N694" s="7"/>
      <c r="O694" s="7"/>
      <c r="P694" s="7"/>
      <c r="Q694" s="7"/>
      <c r="R694" s="7"/>
      <c r="S694" s="7"/>
      <c r="T694" s="7"/>
      <c r="U694" s="7"/>
      <c r="V694" s="7"/>
      <c r="W694" s="7"/>
      <c r="X694" s="7"/>
      <c r="Y694" s="7"/>
    </row>
    <row r="695" spans="3:25" x14ac:dyDescent="0.2">
      <c r="C695" s="7"/>
      <c r="D695" s="7"/>
      <c r="E695" s="7"/>
      <c r="F695" s="7"/>
      <c r="G695" s="7"/>
      <c r="H695" s="7"/>
      <c r="I695" s="7"/>
      <c r="J695" s="7"/>
      <c r="K695" s="7"/>
      <c r="L695" s="7"/>
      <c r="M695" s="7"/>
      <c r="N695" s="7"/>
      <c r="O695" s="7"/>
      <c r="P695" s="7"/>
      <c r="Q695" s="7"/>
      <c r="R695" s="7"/>
      <c r="S695" s="7"/>
      <c r="T695" s="7"/>
      <c r="U695" s="7"/>
      <c r="V695" s="7"/>
      <c r="W695" s="7"/>
      <c r="X695" s="7"/>
      <c r="Y695" s="7"/>
    </row>
    <row r="696" spans="3:25" x14ac:dyDescent="0.2">
      <c r="C696" s="7"/>
      <c r="D696" s="7"/>
      <c r="E696" s="7"/>
      <c r="F696" s="7"/>
      <c r="G696" s="7"/>
      <c r="H696" s="7"/>
      <c r="I696" s="7"/>
      <c r="J696" s="7"/>
      <c r="K696" s="7"/>
      <c r="L696" s="7"/>
      <c r="M696" s="7"/>
      <c r="N696" s="7"/>
      <c r="O696" s="7"/>
      <c r="P696" s="7"/>
      <c r="Q696" s="7"/>
      <c r="R696" s="7"/>
      <c r="S696" s="7"/>
      <c r="T696" s="7"/>
      <c r="U696" s="7"/>
      <c r="V696" s="7"/>
      <c r="W696" s="7"/>
      <c r="X696" s="7"/>
      <c r="Y696" s="7"/>
    </row>
    <row r="697" spans="3:25" x14ac:dyDescent="0.2">
      <c r="C697" s="7"/>
      <c r="D697" s="7"/>
      <c r="E697" s="7"/>
      <c r="F697" s="7"/>
      <c r="G697" s="7"/>
      <c r="H697" s="7"/>
      <c r="I697" s="7"/>
      <c r="J697" s="7"/>
      <c r="K697" s="7"/>
      <c r="L697" s="7"/>
      <c r="M697" s="7"/>
      <c r="N697" s="7"/>
      <c r="O697" s="7"/>
      <c r="P697" s="7"/>
      <c r="Q697" s="7"/>
      <c r="R697" s="7"/>
      <c r="S697" s="7"/>
      <c r="T697" s="7"/>
      <c r="U697" s="7"/>
      <c r="V697" s="7"/>
      <c r="W697" s="7"/>
      <c r="X697" s="7"/>
      <c r="Y697" s="7"/>
    </row>
    <row r="698" spans="3:25" x14ac:dyDescent="0.2">
      <c r="C698" s="7"/>
      <c r="D698" s="7"/>
      <c r="E698" s="7"/>
      <c r="F698" s="7"/>
      <c r="G698" s="7"/>
      <c r="H698" s="7"/>
      <c r="I698" s="7"/>
      <c r="J698" s="7"/>
      <c r="K698" s="7"/>
      <c r="L698" s="7"/>
      <c r="M698" s="7"/>
      <c r="N698" s="7"/>
      <c r="O698" s="7"/>
      <c r="P698" s="7"/>
      <c r="Q698" s="7"/>
      <c r="R698" s="7"/>
      <c r="S698" s="7"/>
      <c r="T698" s="7"/>
      <c r="U698" s="7"/>
      <c r="V698" s="7"/>
      <c r="W698" s="7"/>
      <c r="X698" s="7"/>
      <c r="Y698" s="7"/>
    </row>
    <row r="699" spans="3:25" x14ac:dyDescent="0.2">
      <c r="C699" s="7"/>
      <c r="D699" s="7"/>
      <c r="E699" s="7"/>
      <c r="F699" s="7"/>
      <c r="G699" s="7"/>
      <c r="H699" s="7"/>
      <c r="I699" s="7"/>
      <c r="J699" s="7"/>
      <c r="K699" s="7"/>
      <c r="L699" s="7"/>
      <c r="M699" s="7"/>
      <c r="N699" s="7"/>
      <c r="O699" s="7"/>
      <c r="P699" s="7"/>
      <c r="Q699" s="7"/>
      <c r="R699" s="7"/>
      <c r="S699" s="7"/>
      <c r="T699" s="7"/>
      <c r="U699" s="7"/>
      <c r="V699" s="7"/>
      <c r="W699" s="7"/>
      <c r="X699" s="7"/>
      <c r="Y699" s="7"/>
    </row>
    <row r="700" spans="3:25" x14ac:dyDescent="0.2">
      <c r="C700" s="7"/>
      <c r="D700" s="7"/>
      <c r="E700" s="7"/>
      <c r="F700" s="7"/>
      <c r="G700" s="7"/>
      <c r="H700" s="7"/>
      <c r="I700" s="7"/>
      <c r="J700" s="7"/>
      <c r="K700" s="7"/>
      <c r="L700" s="7"/>
      <c r="M700" s="7"/>
      <c r="N700" s="7"/>
      <c r="O700" s="7"/>
      <c r="P700" s="7"/>
      <c r="Q700" s="7"/>
      <c r="R700" s="7"/>
      <c r="S700" s="7"/>
      <c r="T700" s="7"/>
      <c r="U700" s="7"/>
      <c r="V700" s="7"/>
      <c r="W700" s="7"/>
      <c r="X700" s="7"/>
      <c r="Y700" s="7"/>
    </row>
    <row r="701" spans="3:25" x14ac:dyDescent="0.2">
      <c r="C701" s="7"/>
      <c r="D701" s="7"/>
      <c r="E701" s="7"/>
      <c r="F701" s="7"/>
      <c r="G701" s="7"/>
      <c r="H701" s="7"/>
      <c r="I701" s="7"/>
      <c r="J701" s="7"/>
      <c r="K701" s="7"/>
      <c r="L701" s="7"/>
      <c r="M701" s="7"/>
      <c r="N701" s="7"/>
      <c r="O701" s="7"/>
      <c r="P701" s="7"/>
      <c r="Q701" s="7"/>
      <c r="R701" s="7"/>
      <c r="S701" s="7"/>
      <c r="T701" s="7"/>
      <c r="U701" s="7"/>
      <c r="V701" s="7"/>
      <c r="W701" s="7"/>
      <c r="X701" s="7"/>
      <c r="Y701" s="7"/>
    </row>
    <row r="702" spans="3:25" x14ac:dyDescent="0.2">
      <c r="C702" s="7"/>
      <c r="D702" s="7"/>
      <c r="E702" s="7"/>
      <c r="F702" s="7"/>
      <c r="G702" s="7"/>
      <c r="H702" s="7"/>
      <c r="I702" s="7"/>
      <c r="J702" s="7"/>
      <c r="K702" s="7"/>
      <c r="L702" s="7"/>
      <c r="M702" s="7"/>
      <c r="N702" s="7"/>
      <c r="O702" s="7"/>
      <c r="P702" s="7"/>
      <c r="Q702" s="7"/>
      <c r="R702" s="7"/>
      <c r="S702" s="7"/>
      <c r="T702" s="7"/>
      <c r="U702" s="7"/>
      <c r="V702" s="7"/>
      <c r="W702" s="7"/>
      <c r="X702" s="7"/>
      <c r="Y702" s="7"/>
    </row>
    <row r="703" spans="3:25" x14ac:dyDescent="0.2">
      <c r="C703" s="7"/>
      <c r="D703" s="7"/>
      <c r="E703" s="7"/>
      <c r="F703" s="7"/>
      <c r="G703" s="7"/>
      <c r="H703" s="7"/>
      <c r="I703" s="7"/>
      <c r="J703" s="7"/>
      <c r="K703" s="7"/>
      <c r="L703" s="7"/>
      <c r="M703" s="7"/>
      <c r="N703" s="7"/>
      <c r="O703" s="7"/>
      <c r="P703" s="7"/>
      <c r="Q703" s="7"/>
      <c r="R703" s="7"/>
      <c r="S703" s="7"/>
      <c r="T703" s="7"/>
      <c r="U703" s="7"/>
      <c r="V703" s="7"/>
      <c r="W703" s="7"/>
      <c r="X703" s="7"/>
      <c r="Y703" s="7"/>
    </row>
    <row r="704" spans="3:25" x14ac:dyDescent="0.2">
      <c r="C704" s="7"/>
      <c r="D704" s="7"/>
      <c r="E704" s="7"/>
      <c r="F704" s="7"/>
      <c r="G704" s="7"/>
      <c r="H704" s="7"/>
      <c r="I704" s="7"/>
      <c r="J704" s="7"/>
      <c r="K704" s="7"/>
      <c r="L704" s="7"/>
      <c r="M704" s="7"/>
      <c r="N704" s="7"/>
      <c r="O704" s="7"/>
      <c r="P704" s="7"/>
      <c r="Q704" s="7"/>
      <c r="R704" s="7"/>
      <c r="S704" s="7"/>
      <c r="T704" s="7"/>
      <c r="U704" s="7"/>
      <c r="V704" s="7"/>
      <c r="W704" s="7"/>
      <c r="X704" s="7"/>
      <c r="Y704" s="7"/>
    </row>
    <row r="705" spans="3:25" x14ac:dyDescent="0.2">
      <c r="C705" s="7"/>
      <c r="D705" s="7"/>
      <c r="E705" s="7"/>
      <c r="F705" s="7"/>
      <c r="G705" s="7"/>
      <c r="H705" s="7"/>
      <c r="I705" s="7"/>
      <c r="J705" s="7"/>
      <c r="K705" s="7"/>
      <c r="L705" s="7"/>
      <c r="M705" s="7"/>
      <c r="N705" s="7"/>
      <c r="O705" s="7"/>
      <c r="P705" s="7"/>
      <c r="Q705" s="7"/>
      <c r="R705" s="7"/>
      <c r="S705" s="7"/>
      <c r="T705" s="7"/>
      <c r="U705" s="7"/>
      <c r="V705" s="7"/>
      <c r="W705" s="7"/>
      <c r="X705" s="7"/>
      <c r="Y705" s="7"/>
    </row>
    <row r="706" spans="3:25" x14ac:dyDescent="0.2">
      <c r="C706" s="7"/>
      <c r="D706" s="7"/>
      <c r="E706" s="7"/>
      <c r="F706" s="7"/>
      <c r="G706" s="7"/>
      <c r="H706" s="7"/>
      <c r="I706" s="7"/>
      <c r="J706" s="7"/>
      <c r="K706" s="7"/>
      <c r="L706" s="7"/>
      <c r="M706" s="7"/>
      <c r="N706" s="7"/>
      <c r="O706" s="7"/>
      <c r="P706" s="7"/>
      <c r="Q706" s="7"/>
      <c r="R706" s="7"/>
      <c r="S706" s="7"/>
      <c r="T706" s="7"/>
      <c r="U706" s="7"/>
      <c r="V706" s="7"/>
      <c r="W706" s="7"/>
      <c r="X706" s="7"/>
      <c r="Y706" s="7"/>
    </row>
    <row r="707" spans="3:25" x14ac:dyDescent="0.2">
      <c r="C707" s="7"/>
      <c r="D707" s="7"/>
      <c r="E707" s="7"/>
      <c r="F707" s="7"/>
      <c r="G707" s="7"/>
      <c r="H707" s="7"/>
      <c r="I707" s="7"/>
      <c r="J707" s="7"/>
      <c r="K707" s="7"/>
      <c r="L707" s="7"/>
      <c r="M707" s="7"/>
      <c r="N707" s="7"/>
      <c r="O707" s="7"/>
      <c r="P707" s="7"/>
      <c r="Q707" s="7"/>
      <c r="R707" s="7"/>
      <c r="S707" s="7"/>
      <c r="T707" s="7"/>
      <c r="U707" s="7"/>
      <c r="V707" s="7"/>
      <c r="W707" s="7"/>
      <c r="X707" s="7"/>
      <c r="Y707" s="7"/>
    </row>
    <row r="708" spans="3:25" x14ac:dyDescent="0.2">
      <c r="C708" s="7"/>
      <c r="D708" s="7"/>
      <c r="E708" s="7"/>
      <c r="F708" s="7"/>
      <c r="G708" s="7"/>
      <c r="H708" s="7"/>
      <c r="I708" s="7"/>
      <c r="J708" s="7"/>
      <c r="K708" s="7"/>
      <c r="L708" s="7"/>
      <c r="M708" s="7"/>
      <c r="N708" s="7"/>
      <c r="O708" s="7"/>
      <c r="P708" s="7"/>
      <c r="Q708" s="7"/>
      <c r="R708" s="7"/>
      <c r="S708" s="7"/>
      <c r="T708" s="7"/>
      <c r="U708" s="7"/>
      <c r="V708" s="7"/>
      <c r="W708" s="7"/>
      <c r="X708" s="7"/>
      <c r="Y708" s="7"/>
    </row>
    <row r="709" spans="3:25" x14ac:dyDescent="0.2">
      <c r="C709" s="7"/>
      <c r="D709" s="7"/>
      <c r="E709" s="7"/>
      <c r="F709" s="7"/>
      <c r="G709" s="7"/>
      <c r="H709" s="7"/>
      <c r="I709" s="7"/>
      <c r="J709" s="7"/>
      <c r="K709" s="7"/>
      <c r="L709" s="7"/>
      <c r="M709" s="7"/>
      <c r="N709" s="7"/>
      <c r="O709" s="7"/>
      <c r="P709" s="7"/>
      <c r="Q709" s="7"/>
      <c r="R709" s="7"/>
      <c r="S709" s="7"/>
      <c r="T709" s="7"/>
      <c r="U709" s="7"/>
      <c r="V709" s="7"/>
      <c r="W709" s="7"/>
      <c r="X709" s="7"/>
      <c r="Y709" s="7"/>
    </row>
    <row r="710" spans="3:25" x14ac:dyDescent="0.2">
      <c r="C710" s="7"/>
      <c r="D710" s="7"/>
      <c r="E710" s="7"/>
      <c r="F710" s="7"/>
      <c r="G710" s="7"/>
      <c r="H710" s="7"/>
      <c r="I710" s="7"/>
      <c r="J710" s="7"/>
      <c r="K710" s="7"/>
      <c r="L710" s="7"/>
      <c r="M710" s="7"/>
      <c r="N710" s="7"/>
      <c r="O710" s="7"/>
      <c r="P710" s="7"/>
      <c r="Q710" s="7"/>
      <c r="R710" s="7"/>
      <c r="S710" s="7"/>
      <c r="T710" s="7"/>
      <c r="U710" s="7"/>
      <c r="V710" s="7"/>
      <c r="W710" s="7"/>
      <c r="X710" s="7"/>
      <c r="Y710" s="7"/>
    </row>
    <row r="711" spans="3:25" x14ac:dyDescent="0.2">
      <c r="C711" s="7"/>
      <c r="D711" s="7"/>
      <c r="E711" s="7"/>
      <c r="F711" s="7"/>
      <c r="G711" s="7"/>
      <c r="H711" s="7"/>
      <c r="I711" s="7"/>
      <c r="J711" s="7"/>
      <c r="K711" s="7"/>
      <c r="L711" s="7"/>
      <c r="M711" s="7"/>
      <c r="N711" s="7"/>
      <c r="O711" s="7"/>
      <c r="P711" s="7"/>
      <c r="Q711" s="7"/>
      <c r="R711" s="7"/>
      <c r="S711" s="7"/>
      <c r="T711" s="7"/>
      <c r="U711" s="7"/>
      <c r="V711" s="7"/>
      <c r="W711" s="7"/>
      <c r="X711" s="7"/>
      <c r="Y711" s="7"/>
    </row>
    <row r="712" spans="3:25" x14ac:dyDescent="0.2">
      <c r="C712" s="7"/>
      <c r="D712" s="7"/>
      <c r="E712" s="7"/>
      <c r="F712" s="7"/>
      <c r="G712" s="7"/>
      <c r="H712" s="7"/>
      <c r="I712" s="7"/>
      <c r="J712" s="7"/>
      <c r="K712" s="7"/>
      <c r="L712" s="7"/>
      <c r="M712" s="7"/>
      <c r="N712" s="7"/>
      <c r="O712" s="7"/>
      <c r="P712" s="7"/>
      <c r="Q712" s="7"/>
      <c r="R712" s="7"/>
      <c r="S712" s="7"/>
      <c r="T712" s="7"/>
      <c r="U712" s="7"/>
      <c r="V712" s="7"/>
      <c r="W712" s="7"/>
      <c r="X712" s="7"/>
      <c r="Y712" s="7"/>
    </row>
    <row r="713" spans="3:25" x14ac:dyDescent="0.2">
      <c r="C713" s="7"/>
      <c r="D713" s="7"/>
      <c r="E713" s="7"/>
      <c r="F713" s="7"/>
      <c r="G713" s="7"/>
      <c r="H713" s="7"/>
      <c r="I713" s="7"/>
      <c r="J713" s="7"/>
      <c r="K713" s="7"/>
      <c r="L713" s="7"/>
      <c r="M713" s="7"/>
      <c r="N713" s="7"/>
      <c r="O713" s="7"/>
      <c r="P713" s="7"/>
      <c r="Q713" s="7"/>
      <c r="R713" s="7"/>
      <c r="S713" s="7"/>
      <c r="T713" s="7"/>
      <c r="U713" s="7"/>
      <c r="V713" s="7"/>
      <c r="W713" s="7"/>
      <c r="X713" s="7"/>
      <c r="Y713" s="7"/>
    </row>
    <row r="714" spans="3:25" x14ac:dyDescent="0.2">
      <c r="C714" s="7"/>
      <c r="D714" s="7"/>
      <c r="E714" s="7"/>
      <c r="F714" s="7"/>
      <c r="G714" s="7"/>
      <c r="H714" s="7"/>
      <c r="I714" s="7"/>
      <c r="J714" s="7"/>
      <c r="K714" s="7"/>
      <c r="L714" s="7"/>
      <c r="M714" s="7"/>
      <c r="N714" s="7"/>
      <c r="O714" s="7"/>
      <c r="P714" s="7"/>
      <c r="Q714" s="7"/>
      <c r="R714" s="7"/>
      <c r="S714" s="7"/>
      <c r="T714" s="7"/>
      <c r="U714" s="7"/>
      <c r="V714" s="7"/>
      <c r="W714" s="7"/>
      <c r="X714" s="7"/>
      <c r="Y714" s="7"/>
    </row>
    <row r="715" spans="3:25" x14ac:dyDescent="0.2">
      <c r="C715" s="7"/>
      <c r="D715" s="7"/>
      <c r="E715" s="7"/>
      <c r="F715" s="7"/>
      <c r="G715" s="7"/>
      <c r="H715" s="7"/>
      <c r="I715" s="7"/>
      <c r="J715" s="7"/>
      <c r="K715" s="7"/>
      <c r="L715" s="7"/>
      <c r="M715" s="7"/>
      <c r="N715" s="7"/>
      <c r="O715" s="7"/>
      <c r="P715" s="7"/>
      <c r="Q715" s="7"/>
      <c r="R715" s="7"/>
      <c r="S715" s="7"/>
      <c r="T715" s="7"/>
      <c r="U715" s="7"/>
      <c r="V715" s="7"/>
      <c r="W715" s="7"/>
      <c r="X715" s="7"/>
      <c r="Y715" s="7"/>
    </row>
    <row r="716" spans="3:25" x14ac:dyDescent="0.2">
      <c r="C716" s="7"/>
      <c r="D716" s="7"/>
      <c r="E716" s="7"/>
      <c r="F716" s="7"/>
      <c r="G716" s="7"/>
      <c r="H716" s="7"/>
      <c r="I716" s="7"/>
      <c r="J716" s="7"/>
      <c r="K716" s="7"/>
      <c r="L716" s="7"/>
      <c r="M716" s="7"/>
      <c r="N716" s="7"/>
      <c r="O716" s="7"/>
      <c r="P716" s="7"/>
      <c r="Q716" s="7"/>
      <c r="R716" s="7"/>
      <c r="S716" s="7"/>
      <c r="T716" s="7"/>
      <c r="U716" s="7"/>
      <c r="V716" s="7"/>
      <c r="W716" s="7"/>
      <c r="X716" s="7"/>
      <c r="Y716" s="7"/>
    </row>
    <row r="717" spans="3:25" x14ac:dyDescent="0.2">
      <c r="C717" s="7"/>
      <c r="D717" s="7"/>
      <c r="E717" s="7"/>
      <c r="F717" s="7"/>
      <c r="G717" s="7"/>
      <c r="H717" s="7"/>
      <c r="I717" s="7"/>
      <c r="J717" s="7"/>
      <c r="K717" s="7"/>
      <c r="L717" s="7"/>
      <c r="M717" s="7"/>
      <c r="N717" s="7"/>
      <c r="O717" s="7"/>
      <c r="P717" s="7"/>
      <c r="Q717" s="7"/>
      <c r="R717" s="7"/>
      <c r="S717" s="7"/>
      <c r="T717" s="7"/>
      <c r="U717" s="7"/>
      <c r="V717" s="7"/>
      <c r="W717" s="7"/>
      <c r="X717" s="7"/>
      <c r="Y717" s="7"/>
    </row>
    <row r="718" spans="3:25" x14ac:dyDescent="0.2">
      <c r="C718" s="7"/>
      <c r="D718" s="7"/>
      <c r="E718" s="7"/>
      <c r="F718" s="7"/>
      <c r="G718" s="7"/>
      <c r="H718" s="7"/>
      <c r="I718" s="7"/>
      <c r="J718" s="7"/>
      <c r="K718" s="7"/>
      <c r="L718" s="7"/>
      <c r="M718" s="7"/>
      <c r="N718" s="7"/>
      <c r="O718" s="7"/>
      <c r="P718" s="7"/>
      <c r="Q718" s="7"/>
      <c r="R718" s="7"/>
      <c r="S718" s="7"/>
      <c r="T718" s="7"/>
      <c r="U718" s="7"/>
      <c r="V718" s="7"/>
      <c r="W718" s="7"/>
      <c r="X718" s="7"/>
      <c r="Y718" s="7"/>
    </row>
    <row r="719" spans="3:25" x14ac:dyDescent="0.2">
      <c r="C719" s="7"/>
      <c r="D719" s="7"/>
      <c r="E719" s="7"/>
      <c r="F719" s="7"/>
      <c r="G719" s="7"/>
      <c r="H719" s="7"/>
      <c r="I719" s="7"/>
      <c r="J719" s="7"/>
      <c r="K719" s="7"/>
      <c r="L719" s="7"/>
      <c r="M719" s="7"/>
      <c r="N719" s="7"/>
      <c r="O719" s="7"/>
      <c r="P719" s="7"/>
      <c r="Q719" s="7"/>
      <c r="R719" s="7"/>
      <c r="S719" s="7"/>
      <c r="T719" s="7"/>
      <c r="U719" s="7"/>
      <c r="V719" s="7"/>
      <c r="W719" s="7"/>
      <c r="X719" s="7"/>
      <c r="Y719" s="7"/>
    </row>
    <row r="720" spans="3:25" x14ac:dyDescent="0.2">
      <c r="C720" s="7"/>
      <c r="D720" s="7"/>
      <c r="E720" s="7"/>
      <c r="F720" s="7"/>
      <c r="G720" s="7"/>
      <c r="H720" s="7"/>
      <c r="I720" s="7"/>
      <c r="J720" s="7"/>
      <c r="K720" s="7"/>
      <c r="L720" s="7"/>
      <c r="M720" s="7"/>
      <c r="N720" s="7"/>
      <c r="O720" s="7"/>
      <c r="P720" s="7"/>
      <c r="Q720" s="7"/>
      <c r="R720" s="7"/>
      <c r="S720" s="7"/>
      <c r="T720" s="7"/>
      <c r="U720" s="7"/>
      <c r="V720" s="7"/>
      <c r="W720" s="7"/>
      <c r="X720" s="7"/>
      <c r="Y720" s="7"/>
    </row>
    <row r="721" spans="3:25" x14ac:dyDescent="0.2">
      <c r="C721" s="7"/>
      <c r="D721" s="7"/>
      <c r="E721" s="7"/>
      <c r="F721" s="7"/>
      <c r="G721" s="7"/>
      <c r="H721" s="7"/>
      <c r="I721" s="7"/>
      <c r="J721" s="7"/>
      <c r="K721" s="7"/>
      <c r="L721" s="7"/>
      <c r="M721" s="7"/>
      <c r="N721" s="7"/>
      <c r="O721" s="7"/>
      <c r="P721" s="7"/>
      <c r="Q721" s="7"/>
      <c r="R721" s="7"/>
      <c r="S721" s="7"/>
      <c r="T721" s="7"/>
      <c r="U721" s="7"/>
      <c r="V721" s="7"/>
      <c r="W721" s="7"/>
      <c r="X721" s="7"/>
      <c r="Y721" s="7"/>
    </row>
    <row r="722" spans="3:25" x14ac:dyDescent="0.2">
      <c r="C722" s="7"/>
      <c r="D722" s="7"/>
      <c r="E722" s="7"/>
      <c r="F722" s="7"/>
      <c r="G722" s="7"/>
      <c r="H722" s="7"/>
      <c r="I722" s="7"/>
      <c r="J722" s="7"/>
      <c r="K722" s="7"/>
      <c r="L722" s="7"/>
      <c r="M722" s="7"/>
      <c r="N722" s="7"/>
      <c r="O722" s="7"/>
      <c r="P722" s="7"/>
      <c r="Q722" s="7"/>
      <c r="R722" s="7"/>
      <c r="S722" s="7"/>
      <c r="T722" s="7"/>
      <c r="U722" s="7"/>
      <c r="V722" s="7"/>
      <c r="W722" s="7"/>
      <c r="X722" s="7"/>
      <c r="Y722" s="7"/>
    </row>
    <row r="723" spans="3:25" x14ac:dyDescent="0.2">
      <c r="C723" s="7"/>
      <c r="D723" s="7"/>
      <c r="E723" s="7"/>
      <c r="F723" s="7"/>
      <c r="G723" s="7"/>
      <c r="H723" s="7"/>
      <c r="I723" s="7"/>
      <c r="J723" s="7"/>
      <c r="K723" s="7"/>
      <c r="L723" s="7"/>
      <c r="M723" s="7"/>
      <c r="N723" s="7"/>
      <c r="O723" s="7"/>
      <c r="P723" s="7"/>
      <c r="Q723" s="7"/>
      <c r="R723" s="7"/>
      <c r="S723" s="7"/>
      <c r="T723" s="7"/>
      <c r="U723" s="7"/>
      <c r="V723" s="7"/>
      <c r="W723" s="7"/>
      <c r="X723" s="7"/>
      <c r="Y723" s="7"/>
    </row>
    <row r="724" spans="3:25" x14ac:dyDescent="0.2">
      <c r="C724" s="7"/>
      <c r="D724" s="7"/>
      <c r="E724" s="7"/>
      <c r="F724" s="7"/>
      <c r="G724" s="7"/>
      <c r="H724" s="7"/>
      <c r="I724" s="7"/>
      <c r="J724" s="7"/>
      <c r="K724" s="7"/>
      <c r="L724" s="7"/>
      <c r="M724" s="7"/>
      <c r="N724" s="7"/>
      <c r="O724" s="7"/>
      <c r="P724" s="7"/>
      <c r="Q724" s="7"/>
      <c r="R724" s="7"/>
      <c r="S724" s="7"/>
      <c r="T724" s="7"/>
      <c r="U724" s="7"/>
      <c r="V724" s="7"/>
      <c r="W724" s="7"/>
      <c r="X724" s="7"/>
      <c r="Y724" s="7"/>
    </row>
    <row r="725" spans="3:25" x14ac:dyDescent="0.2">
      <c r="C725" s="7"/>
      <c r="D725" s="7"/>
      <c r="E725" s="7"/>
      <c r="F725" s="7"/>
      <c r="G725" s="7"/>
      <c r="H725" s="7"/>
      <c r="I725" s="7"/>
      <c r="J725" s="7"/>
      <c r="K725" s="7"/>
      <c r="L725" s="7"/>
      <c r="M725" s="7"/>
      <c r="N725" s="7"/>
      <c r="O725" s="7"/>
      <c r="P725" s="7"/>
      <c r="Q725" s="7"/>
      <c r="R725" s="7"/>
      <c r="S725" s="7"/>
      <c r="T725" s="7"/>
      <c r="U725" s="7"/>
      <c r="V725" s="7"/>
      <c r="W725" s="7"/>
      <c r="X725" s="7"/>
      <c r="Y725" s="7"/>
    </row>
    <row r="726" spans="3:25" x14ac:dyDescent="0.2">
      <c r="C726" s="7"/>
      <c r="D726" s="7"/>
      <c r="E726" s="7"/>
      <c r="F726" s="7"/>
      <c r="G726" s="7"/>
      <c r="H726" s="7"/>
      <c r="I726" s="7"/>
      <c r="J726" s="7"/>
      <c r="K726" s="7"/>
      <c r="L726" s="7"/>
      <c r="M726" s="7"/>
      <c r="N726" s="7"/>
      <c r="O726" s="7"/>
      <c r="P726" s="7"/>
      <c r="Q726" s="7"/>
      <c r="R726" s="7"/>
      <c r="S726" s="7"/>
      <c r="T726" s="7"/>
      <c r="U726" s="7"/>
      <c r="V726" s="7"/>
      <c r="W726" s="7"/>
      <c r="X726" s="7"/>
      <c r="Y726" s="7"/>
    </row>
    <row r="727" spans="3:25" x14ac:dyDescent="0.2">
      <c r="C727" s="7"/>
      <c r="D727" s="7"/>
      <c r="E727" s="7"/>
      <c r="F727" s="7"/>
      <c r="G727" s="7"/>
      <c r="H727" s="7"/>
      <c r="I727" s="7"/>
      <c r="J727" s="7"/>
      <c r="K727" s="7"/>
      <c r="L727" s="7"/>
      <c r="M727" s="7"/>
      <c r="N727" s="7"/>
      <c r="O727" s="7"/>
      <c r="P727" s="7"/>
      <c r="Q727" s="7"/>
      <c r="R727" s="7"/>
      <c r="S727" s="7"/>
      <c r="T727" s="7"/>
      <c r="U727" s="7"/>
      <c r="V727" s="7"/>
      <c r="W727" s="7"/>
      <c r="X727" s="7"/>
      <c r="Y727" s="7"/>
    </row>
    <row r="728" spans="3:25" x14ac:dyDescent="0.2">
      <c r="C728" s="7"/>
      <c r="D728" s="7"/>
      <c r="E728" s="7"/>
      <c r="F728" s="7"/>
      <c r="G728" s="7"/>
      <c r="H728" s="7"/>
      <c r="I728" s="7"/>
      <c r="J728" s="7"/>
      <c r="K728" s="7"/>
      <c r="L728" s="7"/>
      <c r="M728" s="7"/>
      <c r="N728" s="7"/>
      <c r="O728" s="7"/>
      <c r="P728" s="7"/>
      <c r="Q728" s="7"/>
      <c r="R728" s="7"/>
      <c r="S728" s="7"/>
      <c r="T728" s="7"/>
      <c r="U728" s="7"/>
      <c r="V728" s="7"/>
      <c r="W728" s="7"/>
      <c r="X728" s="7"/>
      <c r="Y728" s="7"/>
    </row>
    <row r="729" spans="3:25" x14ac:dyDescent="0.2">
      <c r="C729" s="7"/>
      <c r="D729" s="7"/>
      <c r="E729" s="7"/>
      <c r="F729" s="7"/>
      <c r="G729" s="7"/>
      <c r="H729" s="7"/>
      <c r="I729" s="7"/>
      <c r="J729" s="7"/>
      <c r="K729" s="7"/>
      <c r="L729" s="7"/>
      <c r="M729" s="7"/>
      <c r="N729" s="7"/>
      <c r="O729" s="7"/>
      <c r="P729" s="7"/>
      <c r="Q729" s="7"/>
      <c r="R729" s="7"/>
      <c r="S729" s="7"/>
      <c r="T729" s="7"/>
      <c r="U729" s="7"/>
      <c r="V729" s="7"/>
      <c r="W729" s="7"/>
      <c r="X729" s="7"/>
      <c r="Y729" s="7"/>
    </row>
    <row r="730" spans="3:25" x14ac:dyDescent="0.2">
      <c r="C730" s="7"/>
      <c r="D730" s="7"/>
      <c r="E730" s="7"/>
      <c r="F730" s="7"/>
      <c r="G730" s="7"/>
      <c r="H730" s="7"/>
      <c r="I730" s="7"/>
      <c r="J730" s="7"/>
      <c r="K730" s="7"/>
      <c r="L730" s="7"/>
      <c r="M730" s="7"/>
      <c r="N730" s="7"/>
      <c r="O730" s="7"/>
      <c r="P730" s="7"/>
      <c r="Q730" s="7"/>
      <c r="R730" s="7"/>
      <c r="S730" s="7"/>
      <c r="T730" s="7"/>
      <c r="U730" s="7"/>
      <c r="V730" s="7"/>
      <c r="W730" s="7"/>
      <c r="X730" s="7"/>
      <c r="Y730" s="7"/>
    </row>
    <row r="731" spans="3:25" x14ac:dyDescent="0.2">
      <c r="C731" s="7"/>
      <c r="D731" s="7"/>
      <c r="E731" s="7"/>
      <c r="F731" s="7"/>
      <c r="G731" s="7"/>
      <c r="H731" s="7"/>
      <c r="I731" s="7"/>
      <c r="J731" s="7"/>
      <c r="K731" s="7"/>
      <c r="L731" s="7"/>
      <c r="M731" s="7"/>
      <c r="N731" s="7"/>
      <c r="O731" s="7"/>
      <c r="P731" s="7"/>
      <c r="Q731" s="7"/>
      <c r="R731" s="7"/>
      <c r="S731" s="7"/>
      <c r="T731" s="7"/>
      <c r="U731" s="7"/>
      <c r="V731" s="7"/>
      <c r="W731" s="7"/>
      <c r="X731" s="7"/>
      <c r="Y731" s="7"/>
    </row>
    <row r="732" spans="3:25" x14ac:dyDescent="0.2">
      <c r="C732" s="7"/>
      <c r="D732" s="7"/>
      <c r="E732" s="7"/>
      <c r="F732" s="7"/>
      <c r="G732" s="7"/>
      <c r="H732" s="7"/>
      <c r="I732" s="7"/>
      <c r="J732" s="7"/>
      <c r="K732" s="7"/>
      <c r="L732" s="7"/>
      <c r="M732" s="7"/>
      <c r="N732" s="7"/>
      <c r="O732" s="7"/>
      <c r="P732" s="7"/>
      <c r="Q732" s="7"/>
      <c r="R732" s="7"/>
      <c r="S732" s="7"/>
      <c r="T732" s="7"/>
      <c r="U732" s="7"/>
      <c r="V732" s="7"/>
      <c r="W732" s="7"/>
      <c r="X732" s="7"/>
      <c r="Y732" s="7"/>
    </row>
    <row r="733" spans="3:25" x14ac:dyDescent="0.2">
      <c r="C733" s="7"/>
      <c r="D733" s="7"/>
      <c r="E733" s="7"/>
      <c r="F733" s="7"/>
      <c r="G733" s="7"/>
      <c r="H733" s="7"/>
      <c r="I733" s="7"/>
      <c r="J733" s="7"/>
      <c r="K733" s="7"/>
      <c r="L733" s="7"/>
      <c r="M733" s="7"/>
      <c r="N733" s="7"/>
      <c r="O733" s="7"/>
      <c r="P733" s="7"/>
      <c r="Q733" s="7"/>
      <c r="R733" s="7"/>
      <c r="S733" s="7"/>
      <c r="T733" s="7"/>
      <c r="U733" s="7"/>
      <c r="V733" s="7"/>
      <c r="W733" s="7"/>
      <c r="X733" s="7"/>
      <c r="Y733" s="7"/>
    </row>
    <row r="734" spans="3:25" x14ac:dyDescent="0.2">
      <c r="C734" s="7"/>
      <c r="D734" s="7"/>
      <c r="E734" s="7"/>
      <c r="F734" s="7"/>
      <c r="G734" s="7"/>
      <c r="H734" s="7"/>
      <c r="I734" s="7"/>
      <c r="J734" s="7"/>
      <c r="K734" s="7"/>
      <c r="L734" s="7"/>
      <c r="M734" s="7"/>
      <c r="N734" s="7"/>
      <c r="O734" s="7"/>
      <c r="P734" s="7"/>
      <c r="Q734" s="7"/>
      <c r="R734" s="7"/>
      <c r="S734" s="7"/>
      <c r="T734" s="7"/>
      <c r="U734" s="7"/>
      <c r="V734" s="7"/>
      <c r="W734" s="7"/>
      <c r="X734" s="7"/>
      <c r="Y734" s="7"/>
    </row>
    <row r="735" spans="3:25" x14ac:dyDescent="0.2">
      <c r="C735" s="7"/>
      <c r="D735" s="7"/>
      <c r="E735" s="7"/>
      <c r="F735" s="7"/>
      <c r="G735" s="7"/>
      <c r="H735" s="7"/>
      <c r="I735" s="7"/>
      <c r="J735" s="7"/>
      <c r="K735" s="7"/>
      <c r="L735" s="7"/>
      <c r="M735" s="7"/>
      <c r="N735" s="7"/>
      <c r="O735" s="7"/>
      <c r="P735" s="7"/>
      <c r="Q735" s="7"/>
      <c r="R735" s="7"/>
      <c r="S735" s="7"/>
      <c r="T735" s="7"/>
      <c r="U735" s="7"/>
      <c r="V735" s="7"/>
      <c r="W735" s="7"/>
      <c r="X735" s="7"/>
      <c r="Y735" s="7"/>
    </row>
    <row r="736" spans="3:25" x14ac:dyDescent="0.2">
      <c r="C736" s="7"/>
      <c r="D736" s="7"/>
      <c r="E736" s="7"/>
      <c r="F736" s="7"/>
      <c r="G736" s="7"/>
      <c r="H736" s="7"/>
      <c r="I736" s="7"/>
      <c r="J736" s="7"/>
      <c r="K736" s="7"/>
      <c r="L736" s="7"/>
      <c r="M736" s="7"/>
      <c r="N736" s="7"/>
      <c r="O736" s="7"/>
      <c r="P736" s="7"/>
      <c r="Q736" s="7"/>
      <c r="R736" s="7"/>
      <c r="S736" s="7"/>
      <c r="T736" s="7"/>
      <c r="U736" s="7"/>
      <c r="V736" s="7"/>
      <c r="W736" s="7"/>
      <c r="X736" s="7"/>
      <c r="Y736" s="7"/>
    </row>
    <row r="737" spans="3:25" x14ac:dyDescent="0.2">
      <c r="C737" s="7"/>
      <c r="D737" s="7"/>
      <c r="E737" s="7"/>
      <c r="F737" s="7"/>
      <c r="G737" s="7"/>
      <c r="H737" s="7"/>
      <c r="I737" s="7"/>
      <c r="J737" s="7"/>
      <c r="K737" s="7"/>
      <c r="L737" s="7"/>
      <c r="M737" s="7"/>
      <c r="N737" s="7"/>
      <c r="O737" s="7"/>
      <c r="P737" s="7"/>
      <c r="Q737" s="7"/>
      <c r="R737" s="7"/>
      <c r="S737" s="7"/>
      <c r="T737" s="7"/>
      <c r="U737" s="7"/>
      <c r="V737" s="7"/>
      <c r="W737" s="7"/>
      <c r="X737" s="7"/>
      <c r="Y737" s="7"/>
    </row>
    <row r="738" spans="3:25" x14ac:dyDescent="0.2">
      <c r="C738" s="7"/>
      <c r="D738" s="7"/>
      <c r="E738" s="7"/>
      <c r="F738" s="7"/>
      <c r="G738" s="7"/>
      <c r="H738" s="7"/>
      <c r="I738" s="7"/>
      <c r="J738" s="7"/>
      <c r="K738" s="7"/>
      <c r="L738" s="7"/>
      <c r="M738" s="7"/>
      <c r="N738" s="7"/>
      <c r="O738" s="7"/>
      <c r="P738" s="7"/>
      <c r="Q738" s="7"/>
      <c r="R738" s="7"/>
      <c r="S738" s="7"/>
      <c r="T738" s="7"/>
      <c r="U738" s="7"/>
      <c r="V738" s="7"/>
      <c r="W738" s="7"/>
      <c r="X738" s="7"/>
      <c r="Y738" s="7"/>
    </row>
    <row r="739" spans="3:25" x14ac:dyDescent="0.2">
      <c r="C739" s="7"/>
      <c r="D739" s="7"/>
      <c r="E739" s="7"/>
      <c r="F739" s="7"/>
      <c r="G739" s="7"/>
      <c r="H739" s="7"/>
      <c r="I739" s="7"/>
      <c r="J739" s="7"/>
      <c r="K739" s="7"/>
      <c r="L739" s="7"/>
      <c r="M739" s="7"/>
      <c r="N739" s="7"/>
      <c r="O739" s="7"/>
      <c r="P739" s="7"/>
      <c r="Q739" s="7"/>
      <c r="R739" s="7"/>
      <c r="S739" s="7"/>
      <c r="T739" s="7"/>
      <c r="U739" s="7"/>
      <c r="V739" s="7"/>
      <c r="W739" s="7"/>
      <c r="X739" s="7"/>
      <c r="Y739" s="7"/>
    </row>
    <row r="740" spans="3:25" x14ac:dyDescent="0.2">
      <c r="C740" s="7"/>
      <c r="D740" s="7"/>
      <c r="E740" s="7"/>
      <c r="F740" s="7"/>
      <c r="G740" s="7"/>
      <c r="H740" s="7"/>
      <c r="I740" s="7"/>
      <c r="J740" s="7"/>
      <c r="K740" s="7"/>
      <c r="L740" s="7"/>
      <c r="M740" s="7"/>
      <c r="N740" s="7"/>
      <c r="O740" s="7"/>
      <c r="P740" s="7"/>
      <c r="Q740" s="7"/>
      <c r="R740" s="7"/>
      <c r="S740" s="7"/>
      <c r="T740" s="7"/>
      <c r="U740" s="7"/>
      <c r="V740" s="7"/>
      <c r="W740" s="7"/>
      <c r="X740" s="7"/>
      <c r="Y740" s="7"/>
    </row>
    <row r="741" spans="3:25" x14ac:dyDescent="0.2">
      <c r="C741" s="7"/>
      <c r="D741" s="7"/>
      <c r="E741" s="7"/>
      <c r="F741" s="7"/>
      <c r="G741" s="7"/>
      <c r="H741" s="7"/>
      <c r="I741" s="7"/>
      <c r="J741" s="7"/>
      <c r="K741" s="7"/>
      <c r="L741" s="7"/>
      <c r="M741" s="7"/>
      <c r="N741" s="7"/>
      <c r="O741" s="7"/>
      <c r="P741" s="7"/>
      <c r="Q741" s="7"/>
      <c r="R741" s="7"/>
      <c r="S741" s="7"/>
      <c r="T741" s="7"/>
      <c r="U741" s="7"/>
      <c r="V741" s="7"/>
      <c r="W741" s="7"/>
      <c r="X741" s="7"/>
      <c r="Y741" s="7"/>
    </row>
    <row r="742" spans="3:25" x14ac:dyDescent="0.2">
      <c r="C742" s="7"/>
      <c r="D742" s="7"/>
      <c r="E742" s="7"/>
      <c r="F742" s="7"/>
      <c r="G742" s="7"/>
      <c r="H742" s="7"/>
      <c r="I742" s="7"/>
      <c r="J742" s="7"/>
      <c r="K742" s="7"/>
      <c r="L742" s="7"/>
      <c r="M742" s="7"/>
      <c r="N742" s="7"/>
      <c r="O742" s="7"/>
      <c r="P742" s="7"/>
      <c r="Q742" s="7"/>
      <c r="R742" s="7"/>
      <c r="S742" s="7"/>
      <c r="T742" s="7"/>
      <c r="U742" s="7"/>
      <c r="V742" s="7"/>
      <c r="W742" s="7"/>
      <c r="X742" s="7"/>
      <c r="Y742" s="7"/>
    </row>
    <row r="743" spans="3:25" x14ac:dyDescent="0.2">
      <c r="C743" s="7"/>
      <c r="D743" s="7"/>
      <c r="E743" s="7"/>
      <c r="F743" s="7"/>
      <c r="G743" s="7"/>
      <c r="H743" s="7"/>
      <c r="I743" s="7"/>
      <c r="J743" s="7"/>
      <c r="K743" s="7"/>
      <c r="L743" s="7"/>
      <c r="M743" s="7"/>
      <c r="N743" s="7"/>
      <c r="O743" s="7"/>
      <c r="P743" s="7"/>
      <c r="Q743" s="7"/>
      <c r="R743" s="7"/>
      <c r="S743" s="7"/>
      <c r="T743" s="7"/>
      <c r="U743" s="7"/>
      <c r="V743" s="7"/>
      <c r="W743" s="7"/>
      <c r="X743" s="7"/>
      <c r="Y743" s="7"/>
    </row>
    <row r="744" spans="3:25" x14ac:dyDescent="0.2">
      <c r="C744" s="7"/>
      <c r="D744" s="7"/>
      <c r="E744" s="7"/>
      <c r="F744" s="7"/>
      <c r="G744" s="7"/>
      <c r="H744" s="7"/>
      <c r="I744" s="7"/>
      <c r="J744" s="7"/>
      <c r="K744" s="7"/>
      <c r="L744" s="7"/>
      <c r="M744" s="7"/>
      <c r="N744" s="7"/>
      <c r="O744" s="7"/>
      <c r="P744" s="7"/>
      <c r="Q744" s="7"/>
      <c r="R744" s="7"/>
      <c r="S744" s="7"/>
      <c r="T744" s="7"/>
      <c r="U744" s="7"/>
      <c r="V744" s="7"/>
      <c r="W744" s="7"/>
      <c r="X744" s="7"/>
      <c r="Y744" s="7"/>
    </row>
    <row r="745" spans="3:25" x14ac:dyDescent="0.2">
      <c r="C745" s="7"/>
      <c r="D745" s="7"/>
      <c r="E745" s="7"/>
      <c r="F745" s="7"/>
      <c r="G745" s="7"/>
      <c r="H745" s="7"/>
      <c r="I745" s="7"/>
      <c r="J745" s="7"/>
      <c r="K745" s="7"/>
      <c r="L745" s="7"/>
      <c r="M745" s="7"/>
      <c r="N745" s="7"/>
      <c r="O745" s="7"/>
      <c r="P745" s="7"/>
      <c r="Q745" s="7"/>
      <c r="R745" s="7"/>
      <c r="S745" s="7"/>
      <c r="T745" s="7"/>
      <c r="U745" s="7"/>
      <c r="V745" s="7"/>
      <c r="W745" s="7"/>
      <c r="X745" s="7"/>
      <c r="Y745" s="7"/>
    </row>
    <row r="746" spans="3:25" x14ac:dyDescent="0.2">
      <c r="C746" s="7"/>
      <c r="D746" s="7"/>
      <c r="E746" s="7"/>
      <c r="F746" s="7"/>
      <c r="G746" s="7"/>
      <c r="H746" s="7"/>
      <c r="I746" s="7"/>
      <c r="J746" s="7"/>
      <c r="K746" s="7"/>
      <c r="L746" s="7"/>
      <c r="M746" s="7"/>
      <c r="N746" s="7"/>
      <c r="O746" s="7"/>
      <c r="P746" s="7"/>
      <c r="Q746" s="7"/>
      <c r="R746" s="7"/>
      <c r="S746" s="7"/>
      <c r="T746" s="7"/>
      <c r="U746" s="7"/>
      <c r="V746" s="7"/>
      <c r="W746" s="7"/>
      <c r="X746" s="7"/>
      <c r="Y746" s="7"/>
    </row>
    <row r="747" spans="3:25" x14ac:dyDescent="0.2">
      <c r="C747" s="7"/>
      <c r="D747" s="7"/>
      <c r="E747" s="7"/>
      <c r="F747" s="7"/>
      <c r="G747" s="7"/>
      <c r="H747" s="7"/>
      <c r="I747" s="7"/>
      <c r="J747" s="7"/>
      <c r="K747" s="7"/>
      <c r="L747" s="7"/>
      <c r="M747" s="7"/>
      <c r="N747" s="7"/>
      <c r="O747" s="7"/>
      <c r="P747" s="7"/>
      <c r="Q747" s="7"/>
      <c r="R747" s="7"/>
      <c r="S747" s="7"/>
      <c r="T747" s="7"/>
      <c r="U747" s="7"/>
      <c r="V747" s="7"/>
      <c r="W747" s="7"/>
      <c r="X747" s="7"/>
      <c r="Y747" s="7"/>
    </row>
    <row r="748" spans="3:25" x14ac:dyDescent="0.2">
      <c r="C748" s="7"/>
      <c r="D748" s="7"/>
      <c r="E748" s="7"/>
      <c r="F748" s="7"/>
      <c r="G748" s="7"/>
      <c r="H748" s="7"/>
      <c r="I748" s="7"/>
      <c r="J748" s="7"/>
      <c r="K748" s="7"/>
      <c r="L748" s="7"/>
      <c r="M748" s="7"/>
      <c r="N748" s="7"/>
      <c r="O748" s="7"/>
      <c r="P748" s="7"/>
      <c r="Q748" s="7"/>
      <c r="R748" s="7"/>
      <c r="S748" s="7"/>
      <c r="T748" s="7"/>
      <c r="U748" s="7"/>
      <c r="V748" s="7"/>
      <c r="W748" s="7"/>
      <c r="X748" s="7"/>
      <c r="Y748" s="7"/>
    </row>
    <row r="749" spans="3:25" x14ac:dyDescent="0.2">
      <c r="C749" s="7"/>
      <c r="D749" s="7"/>
      <c r="E749" s="7"/>
      <c r="F749" s="7"/>
      <c r="G749" s="7"/>
      <c r="H749" s="7"/>
      <c r="I749" s="7"/>
      <c r="J749" s="7"/>
      <c r="K749" s="7"/>
      <c r="L749" s="7"/>
      <c r="M749" s="7"/>
      <c r="N749" s="7"/>
      <c r="O749" s="7"/>
      <c r="P749" s="7"/>
      <c r="Q749" s="7"/>
      <c r="R749" s="7"/>
      <c r="S749" s="7"/>
      <c r="T749" s="7"/>
      <c r="U749" s="7"/>
      <c r="V749" s="7"/>
      <c r="W749" s="7"/>
      <c r="X749" s="7"/>
      <c r="Y749" s="7"/>
    </row>
    <row r="750" spans="3:25" x14ac:dyDescent="0.2">
      <c r="C750" s="7"/>
      <c r="D750" s="7"/>
      <c r="E750" s="7"/>
      <c r="F750" s="7"/>
      <c r="G750" s="7"/>
      <c r="H750" s="7"/>
      <c r="I750" s="7"/>
      <c r="J750" s="7"/>
      <c r="K750" s="7"/>
      <c r="L750" s="7"/>
      <c r="M750" s="7"/>
      <c r="N750" s="7"/>
      <c r="O750" s="7"/>
      <c r="P750" s="7"/>
      <c r="Q750" s="7"/>
      <c r="R750" s="7"/>
      <c r="S750" s="7"/>
      <c r="T750" s="7"/>
      <c r="U750" s="7"/>
      <c r="V750" s="7"/>
      <c r="W750" s="7"/>
      <c r="X750" s="7"/>
      <c r="Y750" s="7"/>
    </row>
    <row r="751" spans="3:25" x14ac:dyDescent="0.2">
      <c r="C751" s="7"/>
      <c r="D751" s="7"/>
      <c r="E751" s="7"/>
      <c r="F751" s="7"/>
      <c r="G751" s="7"/>
      <c r="H751" s="7"/>
      <c r="I751" s="7"/>
      <c r="J751" s="7"/>
      <c r="K751" s="7"/>
      <c r="L751" s="7"/>
      <c r="M751" s="7"/>
      <c r="N751" s="7"/>
      <c r="O751" s="7"/>
      <c r="P751" s="7"/>
      <c r="Q751" s="7"/>
      <c r="R751" s="7"/>
      <c r="S751" s="7"/>
      <c r="T751" s="7"/>
      <c r="U751" s="7"/>
      <c r="V751" s="7"/>
      <c r="W751" s="7"/>
      <c r="X751" s="7"/>
      <c r="Y751" s="7"/>
    </row>
    <row r="752" spans="3:25" x14ac:dyDescent="0.2">
      <c r="C752" s="7"/>
      <c r="D752" s="7"/>
      <c r="E752" s="7"/>
      <c r="F752" s="7"/>
      <c r="G752" s="7"/>
      <c r="H752" s="7"/>
      <c r="I752" s="7"/>
      <c r="J752" s="7"/>
      <c r="K752" s="7"/>
      <c r="L752" s="7"/>
      <c r="M752" s="7"/>
      <c r="N752" s="7"/>
      <c r="O752" s="7"/>
      <c r="P752" s="7"/>
      <c r="Q752" s="7"/>
      <c r="R752" s="7"/>
      <c r="S752" s="7"/>
      <c r="T752" s="7"/>
      <c r="U752" s="7"/>
      <c r="V752" s="7"/>
      <c r="W752" s="7"/>
      <c r="X752" s="7"/>
      <c r="Y752" s="7"/>
    </row>
    <row r="753" spans="3:25" x14ac:dyDescent="0.2">
      <c r="C753" s="7"/>
      <c r="D753" s="7"/>
      <c r="E753" s="7"/>
      <c r="F753" s="7"/>
      <c r="G753" s="7"/>
      <c r="H753" s="7"/>
      <c r="I753" s="7"/>
      <c r="J753" s="7"/>
      <c r="K753" s="7"/>
      <c r="L753" s="7"/>
      <c r="M753" s="7"/>
      <c r="N753" s="7"/>
      <c r="O753" s="7"/>
      <c r="P753" s="7"/>
      <c r="Q753" s="7"/>
      <c r="R753" s="7"/>
      <c r="S753" s="7"/>
      <c r="T753" s="7"/>
      <c r="U753" s="7"/>
      <c r="V753" s="7"/>
      <c r="W753" s="7"/>
      <c r="X753" s="7"/>
      <c r="Y753" s="7"/>
    </row>
    <row r="754" spans="3:25" x14ac:dyDescent="0.2">
      <c r="C754" s="7"/>
      <c r="D754" s="7"/>
      <c r="E754" s="7"/>
      <c r="F754" s="7"/>
      <c r="G754" s="7"/>
      <c r="H754" s="7"/>
      <c r="I754" s="7"/>
      <c r="J754" s="7"/>
      <c r="K754" s="7"/>
      <c r="L754" s="7"/>
      <c r="M754" s="7"/>
      <c r="N754" s="7"/>
      <c r="O754" s="7"/>
      <c r="P754" s="7"/>
      <c r="Q754" s="7"/>
      <c r="R754" s="7"/>
      <c r="S754" s="7"/>
      <c r="T754" s="7"/>
      <c r="U754" s="7"/>
      <c r="V754" s="7"/>
      <c r="W754" s="7"/>
      <c r="X754" s="7"/>
      <c r="Y754" s="7"/>
    </row>
    <row r="755" spans="3:25" x14ac:dyDescent="0.2">
      <c r="C755" s="7"/>
      <c r="D755" s="7"/>
      <c r="E755" s="7"/>
      <c r="F755" s="7"/>
      <c r="G755" s="7"/>
      <c r="H755" s="7"/>
      <c r="I755" s="7"/>
      <c r="J755" s="7"/>
      <c r="K755" s="7"/>
      <c r="L755" s="7"/>
      <c r="M755" s="7"/>
      <c r="N755" s="7"/>
      <c r="O755" s="7"/>
      <c r="P755" s="7"/>
      <c r="Q755" s="7"/>
      <c r="R755" s="7"/>
      <c r="S755" s="7"/>
      <c r="T755" s="7"/>
      <c r="U755" s="7"/>
      <c r="V755" s="7"/>
      <c r="W755" s="7"/>
      <c r="X755" s="7"/>
      <c r="Y755" s="7"/>
    </row>
    <row r="756" spans="3:25" x14ac:dyDescent="0.2">
      <c r="C756" s="7"/>
      <c r="D756" s="7"/>
      <c r="E756" s="7"/>
      <c r="F756" s="7"/>
      <c r="G756" s="7"/>
      <c r="H756" s="7"/>
      <c r="I756" s="7"/>
      <c r="J756" s="7"/>
      <c r="K756" s="7"/>
      <c r="L756" s="7"/>
      <c r="M756" s="7"/>
      <c r="N756" s="7"/>
      <c r="O756" s="7"/>
      <c r="P756" s="7"/>
      <c r="Q756" s="7"/>
      <c r="R756" s="7"/>
      <c r="S756" s="7"/>
      <c r="T756" s="7"/>
      <c r="U756" s="7"/>
      <c r="V756" s="7"/>
      <c r="W756" s="7"/>
      <c r="X756" s="7"/>
      <c r="Y756" s="7"/>
    </row>
    <row r="757" spans="3:25" x14ac:dyDescent="0.2">
      <c r="C757" s="7"/>
      <c r="D757" s="7"/>
      <c r="E757" s="7"/>
      <c r="F757" s="7"/>
      <c r="G757" s="7"/>
      <c r="H757" s="7"/>
      <c r="I757" s="7"/>
      <c r="J757" s="7"/>
      <c r="K757" s="7"/>
      <c r="L757" s="7"/>
      <c r="M757" s="7"/>
      <c r="N757" s="7"/>
      <c r="O757" s="7"/>
      <c r="P757" s="7"/>
      <c r="Q757" s="7"/>
      <c r="R757" s="7"/>
      <c r="S757" s="7"/>
      <c r="T757" s="7"/>
      <c r="U757" s="7"/>
      <c r="V757" s="7"/>
      <c r="W757" s="7"/>
      <c r="X757" s="7"/>
      <c r="Y757" s="7"/>
    </row>
    <row r="758" spans="3:25" x14ac:dyDescent="0.2">
      <c r="C758" s="7"/>
      <c r="D758" s="7"/>
      <c r="E758" s="7"/>
      <c r="F758" s="7"/>
      <c r="G758" s="7"/>
      <c r="H758" s="7"/>
      <c r="I758" s="7"/>
      <c r="J758" s="7"/>
      <c r="K758" s="7"/>
      <c r="L758" s="7"/>
      <c r="M758" s="7"/>
      <c r="N758" s="7"/>
      <c r="O758" s="7"/>
      <c r="P758" s="7"/>
      <c r="Q758" s="7"/>
      <c r="R758" s="7"/>
      <c r="S758" s="7"/>
      <c r="T758" s="7"/>
      <c r="U758" s="7"/>
      <c r="V758" s="7"/>
      <c r="W758" s="7"/>
      <c r="X758" s="7"/>
      <c r="Y758" s="7"/>
    </row>
    <row r="759" spans="3:25" x14ac:dyDescent="0.2">
      <c r="C759" s="7"/>
      <c r="D759" s="7"/>
      <c r="E759" s="7"/>
      <c r="F759" s="7"/>
      <c r="G759" s="7"/>
      <c r="H759" s="7"/>
      <c r="I759" s="7"/>
      <c r="J759" s="7"/>
      <c r="K759" s="7"/>
      <c r="L759" s="7"/>
      <c r="M759" s="7"/>
      <c r="N759" s="7"/>
      <c r="O759" s="7"/>
      <c r="P759" s="7"/>
      <c r="Q759" s="7"/>
      <c r="R759" s="7"/>
      <c r="S759" s="7"/>
      <c r="T759" s="7"/>
      <c r="U759" s="7"/>
      <c r="V759" s="7"/>
      <c r="W759" s="7"/>
      <c r="X759" s="7"/>
      <c r="Y759" s="7"/>
    </row>
    <row r="760" spans="3:25" x14ac:dyDescent="0.2">
      <c r="C760" s="7"/>
      <c r="D760" s="7"/>
      <c r="E760" s="7"/>
      <c r="F760" s="7"/>
      <c r="G760" s="7"/>
      <c r="H760" s="7"/>
      <c r="I760" s="7"/>
      <c r="J760" s="7"/>
      <c r="K760" s="7"/>
      <c r="L760" s="7"/>
      <c r="M760" s="7"/>
      <c r="N760" s="7"/>
      <c r="O760" s="7"/>
      <c r="P760" s="7"/>
      <c r="Q760" s="7"/>
      <c r="R760" s="7"/>
      <c r="S760" s="7"/>
      <c r="T760" s="7"/>
      <c r="U760" s="7"/>
      <c r="V760" s="7"/>
      <c r="W760" s="7"/>
      <c r="X760" s="7"/>
      <c r="Y760" s="7"/>
    </row>
    <row r="761" spans="3:25" x14ac:dyDescent="0.2">
      <c r="C761" s="7"/>
      <c r="D761" s="7"/>
      <c r="E761" s="7"/>
      <c r="F761" s="7"/>
      <c r="G761" s="7"/>
      <c r="H761" s="7"/>
      <c r="I761" s="7"/>
      <c r="J761" s="7"/>
      <c r="K761" s="7"/>
      <c r="L761" s="7"/>
      <c r="M761" s="7"/>
      <c r="N761" s="7"/>
      <c r="O761" s="7"/>
      <c r="P761" s="7"/>
      <c r="Q761" s="7"/>
      <c r="R761" s="7"/>
      <c r="S761" s="7"/>
      <c r="T761" s="7"/>
      <c r="U761" s="7"/>
      <c r="V761" s="7"/>
      <c r="W761" s="7"/>
      <c r="X761" s="7"/>
      <c r="Y761" s="7"/>
    </row>
    <row r="762" spans="3:25" x14ac:dyDescent="0.2">
      <c r="C762" s="7"/>
      <c r="D762" s="7"/>
      <c r="E762" s="7"/>
      <c r="F762" s="7"/>
      <c r="G762" s="7"/>
      <c r="H762" s="7"/>
      <c r="I762" s="7"/>
      <c r="J762" s="7"/>
      <c r="K762" s="7"/>
      <c r="L762" s="7"/>
      <c r="M762" s="7"/>
      <c r="N762" s="7"/>
      <c r="O762" s="7"/>
      <c r="P762" s="7"/>
      <c r="Q762" s="7"/>
      <c r="R762" s="7"/>
      <c r="S762" s="7"/>
      <c r="T762" s="7"/>
      <c r="U762" s="7"/>
      <c r="V762" s="7"/>
      <c r="W762" s="7"/>
      <c r="X762" s="7"/>
      <c r="Y762" s="7"/>
    </row>
    <row r="763" spans="3:25" x14ac:dyDescent="0.2">
      <c r="C763" s="7"/>
      <c r="D763" s="7"/>
      <c r="E763" s="7"/>
      <c r="F763" s="7"/>
      <c r="G763" s="7"/>
      <c r="H763" s="7"/>
      <c r="I763" s="7"/>
      <c r="J763" s="7"/>
      <c r="K763" s="7"/>
      <c r="L763" s="7"/>
      <c r="M763" s="7"/>
      <c r="N763" s="7"/>
      <c r="O763" s="7"/>
      <c r="P763" s="7"/>
      <c r="Q763" s="7"/>
      <c r="R763" s="7"/>
      <c r="S763" s="7"/>
      <c r="T763" s="7"/>
      <c r="U763" s="7"/>
      <c r="V763" s="7"/>
      <c r="W763" s="7"/>
      <c r="X763" s="7"/>
      <c r="Y763" s="7"/>
    </row>
    <row r="764" spans="3:25" x14ac:dyDescent="0.2">
      <c r="C764" s="7"/>
      <c r="D764" s="7"/>
      <c r="E764" s="7"/>
      <c r="F764" s="7"/>
      <c r="G764" s="7"/>
      <c r="H764" s="7"/>
      <c r="I764" s="7"/>
      <c r="J764" s="7"/>
      <c r="K764" s="7"/>
      <c r="L764" s="7"/>
      <c r="M764" s="7"/>
      <c r="N764" s="7"/>
      <c r="O764" s="7"/>
      <c r="P764" s="7"/>
      <c r="Q764" s="7"/>
      <c r="R764" s="7"/>
      <c r="S764" s="7"/>
      <c r="T764" s="7"/>
      <c r="U764" s="7"/>
      <c r="V764" s="7"/>
      <c r="W764" s="7"/>
      <c r="X764" s="7"/>
      <c r="Y764" s="7"/>
    </row>
    <row r="765" spans="3:25" x14ac:dyDescent="0.2">
      <c r="C765" s="7"/>
      <c r="D765" s="7"/>
      <c r="E765" s="7"/>
      <c r="F765" s="7"/>
      <c r="G765" s="7"/>
      <c r="H765" s="7"/>
      <c r="I765" s="7"/>
      <c r="J765" s="7"/>
      <c r="K765" s="7"/>
      <c r="L765" s="7"/>
      <c r="M765" s="7"/>
      <c r="N765" s="7"/>
      <c r="O765" s="7"/>
      <c r="P765" s="7"/>
      <c r="Q765" s="7"/>
      <c r="R765" s="7"/>
      <c r="S765" s="7"/>
      <c r="T765" s="7"/>
      <c r="U765" s="7"/>
      <c r="V765" s="7"/>
      <c r="W765" s="7"/>
      <c r="X765" s="7"/>
      <c r="Y765" s="7"/>
    </row>
    <row r="766" spans="3:25" x14ac:dyDescent="0.2">
      <c r="C766" s="7"/>
      <c r="D766" s="7"/>
      <c r="E766" s="7"/>
      <c r="F766" s="7"/>
      <c r="G766" s="7"/>
      <c r="H766" s="7"/>
      <c r="I766" s="7"/>
      <c r="J766" s="7"/>
      <c r="K766" s="7"/>
      <c r="L766" s="7"/>
      <c r="M766" s="7"/>
      <c r="N766" s="7"/>
      <c r="O766" s="7"/>
      <c r="P766" s="7"/>
      <c r="Q766" s="7"/>
      <c r="R766" s="7"/>
      <c r="S766" s="7"/>
      <c r="T766" s="7"/>
      <c r="U766" s="7"/>
      <c r="V766" s="7"/>
      <c r="W766" s="7"/>
      <c r="X766" s="7"/>
      <c r="Y766" s="7"/>
    </row>
    <row r="767" spans="3:25" x14ac:dyDescent="0.2">
      <c r="C767" s="7"/>
      <c r="D767" s="7"/>
      <c r="E767" s="7"/>
      <c r="F767" s="7"/>
      <c r="G767" s="7"/>
      <c r="H767" s="7"/>
      <c r="I767" s="7"/>
      <c r="J767" s="7"/>
      <c r="K767" s="7"/>
      <c r="L767" s="7"/>
      <c r="M767" s="7"/>
      <c r="N767" s="7"/>
      <c r="O767" s="7"/>
      <c r="P767" s="7"/>
      <c r="Q767" s="7"/>
      <c r="R767" s="7"/>
      <c r="S767" s="7"/>
      <c r="T767" s="7"/>
      <c r="U767" s="7"/>
      <c r="V767" s="7"/>
      <c r="W767" s="7"/>
      <c r="X767" s="7"/>
      <c r="Y767" s="7"/>
    </row>
    <row r="768" spans="3:25" x14ac:dyDescent="0.2">
      <c r="C768" s="7"/>
      <c r="D768" s="7"/>
      <c r="E768" s="7"/>
      <c r="F768" s="7"/>
      <c r="G768" s="7"/>
      <c r="H768" s="7"/>
      <c r="I768" s="7"/>
      <c r="J768" s="7"/>
      <c r="K768" s="7"/>
      <c r="L768" s="7"/>
      <c r="M768" s="7"/>
      <c r="N768" s="7"/>
      <c r="O768" s="7"/>
      <c r="P768" s="7"/>
      <c r="Q768" s="7"/>
      <c r="R768" s="7"/>
      <c r="S768" s="7"/>
      <c r="T768" s="7"/>
      <c r="U768" s="7"/>
      <c r="V768" s="7"/>
      <c r="W768" s="7"/>
      <c r="X768" s="7"/>
      <c r="Y768" s="7"/>
    </row>
    <row r="769" spans="3:25" x14ac:dyDescent="0.2">
      <c r="C769" s="7"/>
      <c r="D769" s="7"/>
      <c r="E769" s="7"/>
      <c r="F769" s="7"/>
      <c r="G769" s="7"/>
      <c r="H769" s="7"/>
      <c r="I769" s="7"/>
      <c r="J769" s="7"/>
      <c r="K769" s="7"/>
      <c r="L769" s="7"/>
      <c r="M769" s="7"/>
      <c r="N769" s="7"/>
      <c r="O769" s="7"/>
      <c r="P769" s="7"/>
      <c r="Q769" s="7"/>
      <c r="R769" s="7"/>
      <c r="S769" s="7"/>
      <c r="T769" s="7"/>
      <c r="U769" s="7"/>
      <c r="V769" s="7"/>
      <c r="W769" s="7"/>
      <c r="X769" s="7"/>
      <c r="Y769" s="7"/>
    </row>
    <row r="770" spans="3:25" x14ac:dyDescent="0.2">
      <c r="C770" s="7"/>
      <c r="D770" s="7"/>
      <c r="E770" s="7"/>
      <c r="F770" s="7"/>
      <c r="G770" s="7"/>
      <c r="H770" s="7"/>
      <c r="I770" s="7"/>
      <c r="J770" s="7"/>
      <c r="K770" s="7"/>
      <c r="L770" s="7"/>
      <c r="M770" s="7"/>
      <c r="N770" s="7"/>
      <c r="O770" s="7"/>
      <c r="P770" s="7"/>
      <c r="Q770" s="7"/>
      <c r="R770" s="7"/>
      <c r="S770" s="7"/>
      <c r="T770" s="7"/>
      <c r="U770" s="7"/>
      <c r="V770" s="7"/>
      <c r="W770" s="7"/>
      <c r="X770" s="7"/>
      <c r="Y770" s="7"/>
    </row>
    <row r="771" spans="3:25" x14ac:dyDescent="0.2">
      <c r="C771" s="7"/>
      <c r="D771" s="7"/>
      <c r="E771" s="7"/>
      <c r="F771" s="7"/>
      <c r="G771" s="7"/>
      <c r="H771" s="7"/>
      <c r="I771" s="7"/>
      <c r="J771" s="7"/>
      <c r="K771" s="7"/>
      <c r="L771" s="7"/>
      <c r="M771" s="7"/>
      <c r="N771" s="7"/>
      <c r="O771" s="7"/>
      <c r="P771" s="7"/>
      <c r="Q771" s="7"/>
      <c r="R771" s="7"/>
      <c r="S771" s="7"/>
      <c r="T771" s="7"/>
      <c r="U771" s="7"/>
      <c r="V771" s="7"/>
      <c r="W771" s="7"/>
      <c r="X771" s="7"/>
      <c r="Y771" s="7"/>
    </row>
    <row r="772" spans="3:25" x14ac:dyDescent="0.2">
      <c r="C772" s="7"/>
      <c r="D772" s="7"/>
      <c r="E772" s="7"/>
      <c r="F772" s="7"/>
      <c r="G772" s="7"/>
      <c r="H772" s="7"/>
      <c r="I772" s="7"/>
      <c r="J772" s="7"/>
      <c r="K772" s="7"/>
      <c r="L772" s="7"/>
      <c r="M772" s="7"/>
      <c r="N772" s="7"/>
      <c r="O772" s="7"/>
      <c r="P772" s="7"/>
      <c r="Q772" s="7"/>
      <c r="R772" s="7"/>
      <c r="S772" s="7"/>
      <c r="T772" s="7"/>
      <c r="U772" s="7"/>
      <c r="V772" s="7"/>
      <c r="W772" s="7"/>
      <c r="X772" s="7"/>
      <c r="Y772" s="7"/>
    </row>
    <row r="773" spans="3:25" x14ac:dyDescent="0.2">
      <c r="C773" s="7"/>
      <c r="D773" s="7"/>
      <c r="E773" s="7"/>
      <c r="F773" s="7"/>
      <c r="G773" s="7"/>
      <c r="H773" s="7"/>
      <c r="I773" s="7"/>
      <c r="J773" s="7"/>
      <c r="K773" s="7"/>
      <c r="L773" s="7"/>
      <c r="M773" s="7"/>
      <c r="N773" s="7"/>
      <c r="O773" s="7"/>
      <c r="P773" s="7"/>
      <c r="Q773" s="7"/>
      <c r="R773" s="7"/>
      <c r="S773" s="7"/>
      <c r="T773" s="7"/>
      <c r="U773" s="7"/>
      <c r="V773" s="7"/>
      <c r="W773" s="7"/>
      <c r="X773" s="7"/>
      <c r="Y773" s="7"/>
    </row>
    <row r="774" spans="3:25" x14ac:dyDescent="0.2">
      <c r="C774" s="7"/>
      <c r="D774" s="7"/>
      <c r="E774" s="7"/>
      <c r="F774" s="7"/>
      <c r="G774" s="7"/>
      <c r="H774" s="7"/>
      <c r="I774" s="7"/>
      <c r="J774" s="7"/>
      <c r="K774" s="7"/>
      <c r="L774" s="7"/>
      <c r="M774" s="7"/>
      <c r="N774" s="7"/>
      <c r="O774" s="7"/>
      <c r="P774" s="7"/>
      <c r="Q774" s="7"/>
      <c r="R774" s="7"/>
      <c r="S774" s="7"/>
      <c r="T774" s="7"/>
      <c r="U774" s="7"/>
      <c r="V774" s="7"/>
      <c r="W774" s="7"/>
      <c r="X774" s="7"/>
      <c r="Y774" s="7"/>
    </row>
    <row r="775" spans="3:25" x14ac:dyDescent="0.2">
      <c r="C775" s="7"/>
      <c r="D775" s="7"/>
      <c r="E775" s="7"/>
      <c r="F775" s="7"/>
      <c r="G775" s="7"/>
      <c r="H775" s="7"/>
      <c r="I775" s="7"/>
      <c r="J775" s="7"/>
      <c r="K775" s="7"/>
      <c r="L775" s="7"/>
      <c r="M775" s="7"/>
      <c r="N775" s="7"/>
      <c r="O775" s="7"/>
      <c r="P775" s="7"/>
      <c r="Q775" s="7"/>
      <c r="R775" s="7"/>
      <c r="S775" s="7"/>
      <c r="T775" s="7"/>
      <c r="U775" s="7"/>
      <c r="V775" s="7"/>
      <c r="W775" s="7"/>
      <c r="X775" s="7"/>
      <c r="Y775" s="7"/>
    </row>
    <row r="776" spans="3:25" x14ac:dyDescent="0.2">
      <c r="C776" s="7"/>
      <c r="D776" s="7"/>
      <c r="E776" s="7"/>
      <c r="F776" s="7"/>
      <c r="G776" s="7"/>
      <c r="H776" s="7"/>
      <c r="I776" s="7"/>
      <c r="J776" s="7"/>
      <c r="K776" s="7"/>
      <c r="L776" s="7"/>
      <c r="M776" s="7"/>
      <c r="N776" s="7"/>
      <c r="O776" s="7"/>
      <c r="P776" s="7"/>
      <c r="Q776" s="7"/>
      <c r="R776" s="7"/>
      <c r="S776" s="7"/>
      <c r="T776" s="7"/>
      <c r="U776" s="7"/>
      <c r="V776" s="7"/>
      <c r="W776" s="7"/>
      <c r="X776" s="7"/>
      <c r="Y776" s="7"/>
    </row>
    <row r="777" spans="3:25" x14ac:dyDescent="0.2">
      <c r="C777" s="7"/>
      <c r="D777" s="7"/>
      <c r="E777" s="7"/>
      <c r="F777" s="7"/>
      <c r="G777" s="7"/>
      <c r="H777" s="7"/>
      <c r="I777" s="7"/>
      <c r="J777" s="7"/>
      <c r="K777" s="7"/>
      <c r="L777" s="7"/>
      <c r="M777" s="7"/>
      <c r="N777" s="7"/>
      <c r="O777" s="7"/>
      <c r="P777" s="7"/>
      <c r="Q777" s="7"/>
      <c r="R777" s="7"/>
      <c r="S777" s="7"/>
      <c r="T777" s="7"/>
      <c r="U777" s="7"/>
      <c r="V777" s="7"/>
      <c r="W777" s="7"/>
      <c r="X777" s="7"/>
      <c r="Y777" s="7"/>
    </row>
    <row r="778" spans="3:25" x14ac:dyDescent="0.2">
      <c r="C778" s="7"/>
      <c r="D778" s="7"/>
      <c r="E778" s="7"/>
      <c r="F778" s="7"/>
      <c r="G778" s="7"/>
      <c r="H778" s="7"/>
      <c r="I778" s="7"/>
      <c r="J778" s="7"/>
      <c r="K778" s="7"/>
      <c r="L778" s="7"/>
      <c r="M778" s="7"/>
      <c r="N778" s="7"/>
      <c r="O778" s="7"/>
      <c r="P778" s="7"/>
      <c r="Q778" s="7"/>
      <c r="R778" s="7"/>
      <c r="S778" s="7"/>
      <c r="T778" s="7"/>
      <c r="U778" s="7"/>
      <c r="V778" s="7"/>
      <c r="W778" s="7"/>
      <c r="X778" s="7"/>
      <c r="Y778" s="7"/>
    </row>
    <row r="779" spans="3:25" x14ac:dyDescent="0.2">
      <c r="C779" s="7"/>
      <c r="D779" s="7"/>
      <c r="E779" s="7"/>
      <c r="F779" s="7"/>
      <c r="G779" s="7"/>
      <c r="H779" s="7"/>
      <c r="I779" s="7"/>
      <c r="J779" s="7"/>
      <c r="K779" s="7"/>
      <c r="L779" s="7"/>
      <c r="M779" s="7"/>
      <c r="N779" s="7"/>
      <c r="O779" s="7"/>
      <c r="P779" s="7"/>
      <c r="Q779" s="7"/>
      <c r="R779" s="7"/>
      <c r="S779" s="7"/>
      <c r="T779" s="7"/>
      <c r="U779" s="7"/>
      <c r="V779" s="7"/>
      <c r="W779" s="7"/>
      <c r="X779" s="7"/>
      <c r="Y779" s="7"/>
    </row>
    <row r="780" spans="3:25" x14ac:dyDescent="0.2">
      <c r="C780" s="7"/>
      <c r="D780" s="7"/>
      <c r="E780" s="7"/>
      <c r="F780" s="7"/>
      <c r="G780" s="7"/>
      <c r="H780" s="7"/>
      <c r="I780" s="7"/>
      <c r="J780" s="7"/>
      <c r="K780" s="7"/>
      <c r="L780" s="7"/>
      <c r="M780" s="7"/>
      <c r="N780" s="7"/>
      <c r="O780" s="7"/>
      <c r="P780" s="7"/>
      <c r="Q780" s="7"/>
      <c r="R780" s="7"/>
      <c r="S780" s="7"/>
      <c r="T780" s="7"/>
      <c r="U780" s="7"/>
      <c r="V780" s="7"/>
      <c r="W780" s="7"/>
      <c r="X780" s="7"/>
      <c r="Y780" s="7"/>
    </row>
    <row r="781" spans="3:25" x14ac:dyDescent="0.2">
      <c r="C781" s="7"/>
      <c r="D781" s="7"/>
      <c r="E781" s="7"/>
      <c r="F781" s="7"/>
      <c r="G781" s="7"/>
      <c r="H781" s="7"/>
      <c r="I781" s="7"/>
      <c r="J781" s="7"/>
      <c r="K781" s="7"/>
      <c r="L781" s="7"/>
      <c r="M781" s="7"/>
      <c r="N781" s="7"/>
      <c r="O781" s="7"/>
      <c r="P781" s="7"/>
      <c r="Q781" s="7"/>
      <c r="R781" s="7"/>
      <c r="S781" s="7"/>
      <c r="T781" s="7"/>
      <c r="U781" s="7"/>
      <c r="V781" s="7"/>
      <c r="W781" s="7"/>
      <c r="X781" s="7"/>
      <c r="Y781" s="7"/>
    </row>
    <row r="782" spans="3:25" x14ac:dyDescent="0.2">
      <c r="C782" s="7"/>
      <c r="D782" s="7"/>
      <c r="E782" s="7"/>
      <c r="F782" s="7"/>
      <c r="G782" s="7"/>
      <c r="H782" s="7"/>
      <c r="I782" s="7"/>
      <c r="J782" s="7"/>
      <c r="K782" s="7"/>
      <c r="L782" s="7"/>
      <c r="M782" s="7"/>
      <c r="N782" s="7"/>
      <c r="O782" s="7"/>
      <c r="P782" s="7"/>
      <c r="Q782" s="7"/>
      <c r="R782" s="7"/>
      <c r="S782" s="7"/>
      <c r="T782" s="7"/>
      <c r="U782" s="7"/>
      <c r="V782" s="7"/>
      <c r="W782" s="7"/>
      <c r="X782" s="7"/>
      <c r="Y782" s="7"/>
    </row>
    <row r="783" spans="3:25" x14ac:dyDescent="0.2">
      <c r="C783" s="7"/>
      <c r="D783" s="7"/>
      <c r="E783" s="7"/>
      <c r="F783" s="7"/>
      <c r="G783" s="7"/>
      <c r="H783" s="7"/>
      <c r="I783" s="7"/>
      <c r="J783" s="7"/>
      <c r="K783" s="7"/>
      <c r="L783" s="7"/>
      <c r="M783" s="7"/>
      <c r="N783" s="7"/>
      <c r="O783" s="7"/>
      <c r="P783" s="7"/>
      <c r="Q783" s="7"/>
      <c r="R783" s="7"/>
      <c r="S783" s="7"/>
      <c r="T783" s="7"/>
      <c r="U783" s="7"/>
      <c r="V783" s="7"/>
      <c r="W783" s="7"/>
      <c r="X783" s="7"/>
      <c r="Y783" s="7"/>
    </row>
    <row r="784" spans="3:25" x14ac:dyDescent="0.2">
      <c r="C784" s="7"/>
      <c r="D784" s="7"/>
      <c r="E784" s="7"/>
      <c r="F784" s="7"/>
      <c r="G784" s="7"/>
      <c r="H784" s="7"/>
      <c r="I784" s="7"/>
      <c r="J784" s="7"/>
      <c r="K784" s="7"/>
      <c r="L784" s="7"/>
      <c r="M784" s="7"/>
      <c r="N784" s="7"/>
      <c r="O784" s="7"/>
      <c r="P784" s="7"/>
      <c r="Q784" s="7"/>
      <c r="R784" s="7"/>
      <c r="S784" s="7"/>
      <c r="T784" s="7"/>
      <c r="U784" s="7"/>
      <c r="V784" s="7"/>
      <c r="W784" s="7"/>
      <c r="X784" s="7"/>
      <c r="Y784" s="7"/>
    </row>
    <row r="785" spans="3:25" x14ac:dyDescent="0.2">
      <c r="C785" s="7"/>
      <c r="D785" s="7"/>
      <c r="E785" s="7"/>
      <c r="F785" s="7"/>
      <c r="G785" s="7"/>
      <c r="H785" s="7"/>
      <c r="I785" s="7"/>
      <c r="J785" s="7"/>
      <c r="K785" s="7"/>
      <c r="L785" s="7"/>
      <c r="M785" s="7"/>
      <c r="N785" s="7"/>
      <c r="O785" s="7"/>
      <c r="P785" s="7"/>
      <c r="Q785" s="7"/>
      <c r="R785" s="7"/>
      <c r="S785" s="7"/>
      <c r="T785" s="7"/>
      <c r="U785" s="7"/>
      <c r="V785" s="7"/>
      <c r="W785" s="7"/>
      <c r="X785" s="7"/>
      <c r="Y785" s="7"/>
    </row>
    <row r="786" spans="3:25" x14ac:dyDescent="0.2">
      <c r="C786" s="7"/>
      <c r="D786" s="7"/>
      <c r="E786" s="7"/>
      <c r="F786" s="7"/>
      <c r="G786" s="7"/>
      <c r="H786" s="7"/>
      <c r="I786" s="7"/>
      <c r="J786" s="7"/>
      <c r="K786" s="7"/>
      <c r="L786" s="7"/>
      <c r="M786" s="7"/>
      <c r="N786" s="7"/>
      <c r="O786" s="7"/>
      <c r="P786" s="7"/>
      <c r="Q786" s="7"/>
      <c r="R786" s="7"/>
      <c r="S786" s="7"/>
      <c r="T786" s="7"/>
      <c r="U786" s="7"/>
      <c r="V786" s="7"/>
      <c r="W786" s="7"/>
      <c r="X786" s="7"/>
      <c r="Y786" s="7"/>
    </row>
    <row r="787" spans="3:25" x14ac:dyDescent="0.2">
      <c r="C787" s="7"/>
      <c r="D787" s="7"/>
      <c r="E787" s="7"/>
      <c r="F787" s="7"/>
      <c r="G787" s="7"/>
      <c r="H787" s="7"/>
      <c r="I787" s="7"/>
      <c r="J787" s="7"/>
      <c r="K787" s="7"/>
      <c r="L787" s="7"/>
      <c r="M787" s="7"/>
      <c r="N787" s="7"/>
      <c r="O787" s="7"/>
      <c r="P787" s="7"/>
      <c r="Q787" s="7"/>
      <c r="R787" s="7"/>
      <c r="S787" s="7"/>
      <c r="T787" s="7"/>
      <c r="U787" s="7"/>
      <c r="V787" s="7"/>
      <c r="W787" s="7"/>
      <c r="X787" s="7"/>
      <c r="Y787" s="7"/>
    </row>
    <row r="788" spans="3:25" x14ac:dyDescent="0.2">
      <c r="C788" s="7"/>
      <c r="D788" s="7"/>
      <c r="E788" s="7"/>
      <c r="F788" s="7"/>
      <c r="G788" s="7"/>
      <c r="H788" s="7"/>
      <c r="I788" s="7"/>
      <c r="J788" s="7"/>
      <c r="K788" s="7"/>
      <c r="L788" s="7"/>
      <c r="M788" s="7"/>
      <c r="N788" s="7"/>
      <c r="O788" s="7"/>
      <c r="P788" s="7"/>
      <c r="Q788" s="7"/>
      <c r="R788" s="7"/>
      <c r="S788" s="7"/>
      <c r="T788" s="7"/>
      <c r="U788" s="7"/>
      <c r="V788" s="7"/>
      <c r="W788" s="7"/>
      <c r="X788" s="7"/>
      <c r="Y788" s="7"/>
    </row>
    <row r="789" spans="3:25" x14ac:dyDescent="0.2">
      <c r="C789" s="7"/>
      <c r="D789" s="7"/>
      <c r="E789" s="7"/>
      <c r="F789" s="7"/>
      <c r="G789" s="7"/>
      <c r="H789" s="7"/>
      <c r="I789" s="7"/>
      <c r="J789" s="7"/>
      <c r="K789" s="7"/>
      <c r="L789" s="7"/>
      <c r="M789" s="7"/>
      <c r="N789" s="7"/>
      <c r="O789" s="7"/>
      <c r="P789" s="7"/>
      <c r="Q789" s="7"/>
      <c r="R789" s="7"/>
      <c r="S789" s="7"/>
      <c r="T789" s="7"/>
      <c r="U789" s="7"/>
      <c r="V789" s="7"/>
      <c r="W789" s="7"/>
      <c r="X789" s="7"/>
      <c r="Y789" s="7"/>
    </row>
    <row r="790" spans="3:25" x14ac:dyDescent="0.2">
      <c r="C790" s="7"/>
      <c r="D790" s="7"/>
      <c r="E790" s="7"/>
      <c r="F790" s="7"/>
      <c r="G790" s="7"/>
      <c r="H790" s="7"/>
      <c r="I790" s="7"/>
      <c r="J790" s="7"/>
      <c r="K790" s="7"/>
      <c r="L790" s="7"/>
      <c r="M790" s="7"/>
      <c r="N790" s="7"/>
      <c r="O790" s="7"/>
      <c r="P790" s="7"/>
      <c r="Q790" s="7"/>
      <c r="R790" s="7"/>
      <c r="S790" s="7"/>
      <c r="T790" s="7"/>
      <c r="U790" s="7"/>
      <c r="V790" s="7"/>
      <c r="W790" s="7"/>
      <c r="X790" s="7"/>
      <c r="Y790" s="7"/>
    </row>
    <row r="791" spans="3:25" x14ac:dyDescent="0.2">
      <c r="C791" s="7"/>
      <c r="D791" s="7"/>
      <c r="E791" s="7"/>
      <c r="F791" s="7"/>
      <c r="G791" s="7"/>
      <c r="H791" s="7"/>
      <c r="I791" s="7"/>
      <c r="J791" s="7"/>
      <c r="K791" s="7"/>
      <c r="L791" s="7"/>
      <c r="M791" s="7"/>
      <c r="N791" s="7"/>
      <c r="O791" s="7"/>
      <c r="P791" s="7"/>
      <c r="Q791" s="7"/>
      <c r="R791" s="7"/>
      <c r="S791" s="7"/>
      <c r="T791" s="7"/>
      <c r="U791" s="7"/>
      <c r="V791" s="7"/>
      <c r="W791" s="7"/>
      <c r="X791" s="7"/>
      <c r="Y791" s="7"/>
    </row>
    <row r="792" spans="3:25" x14ac:dyDescent="0.2">
      <c r="C792" s="7"/>
      <c r="D792" s="7"/>
      <c r="E792" s="7"/>
      <c r="F792" s="7"/>
      <c r="G792" s="7"/>
      <c r="H792" s="7"/>
      <c r="I792" s="7"/>
      <c r="J792" s="7"/>
      <c r="K792" s="7"/>
      <c r="L792" s="7"/>
      <c r="M792" s="7"/>
      <c r="N792" s="7"/>
      <c r="O792" s="7"/>
      <c r="P792" s="7"/>
      <c r="Q792" s="7"/>
      <c r="R792" s="7"/>
      <c r="S792" s="7"/>
      <c r="T792" s="7"/>
      <c r="U792" s="7"/>
      <c r="V792" s="7"/>
      <c r="W792" s="7"/>
      <c r="X792" s="7"/>
      <c r="Y792" s="7"/>
    </row>
    <row r="793" spans="3:25" x14ac:dyDescent="0.2">
      <c r="C793" s="7"/>
      <c r="D793" s="7"/>
      <c r="E793" s="7"/>
      <c r="F793" s="7"/>
      <c r="G793" s="7"/>
      <c r="H793" s="7"/>
      <c r="I793" s="7"/>
      <c r="J793" s="7"/>
      <c r="K793" s="7"/>
      <c r="L793" s="7"/>
      <c r="M793" s="7"/>
      <c r="N793" s="7"/>
      <c r="O793" s="7"/>
      <c r="P793" s="7"/>
      <c r="Q793" s="7"/>
      <c r="R793" s="7"/>
      <c r="S793" s="7"/>
      <c r="T793" s="7"/>
      <c r="U793" s="7"/>
      <c r="V793" s="7"/>
      <c r="W793" s="7"/>
      <c r="X793" s="7"/>
      <c r="Y793" s="7"/>
    </row>
    <row r="794" spans="3:25" x14ac:dyDescent="0.2">
      <c r="C794" s="7"/>
      <c r="D794" s="7"/>
      <c r="E794" s="7"/>
      <c r="F794" s="7"/>
      <c r="G794" s="7"/>
      <c r="H794" s="7"/>
      <c r="I794" s="7"/>
      <c r="J794" s="7"/>
      <c r="K794" s="7"/>
      <c r="L794" s="7"/>
      <c r="M794" s="7"/>
      <c r="N794" s="7"/>
      <c r="O794" s="7"/>
      <c r="P794" s="7"/>
      <c r="Q794" s="7"/>
      <c r="R794" s="7"/>
      <c r="S794" s="7"/>
      <c r="T794" s="7"/>
      <c r="U794" s="7"/>
      <c r="V794" s="7"/>
      <c r="W794" s="7"/>
      <c r="X794" s="7"/>
      <c r="Y794" s="7"/>
    </row>
    <row r="795" spans="3:25" x14ac:dyDescent="0.2">
      <c r="C795" s="7"/>
      <c r="D795" s="7"/>
      <c r="E795" s="7"/>
      <c r="F795" s="7"/>
      <c r="G795" s="7"/>
      <c r="H795" s="7"/>
      <c r="I795" s="7"/>
      <c r="J795" s="7"/>
      <c r="K795" s="7"/>
      <c r="L795" s="7"/>
      <c r="M795" s="7"/>
      <c r="N795" s="7"/>
      <c r="O795" s="7"/>
      <c r="P795" s="7"/>
      <c r="Q795" s="7"/>
      <c r="R795" s="7"/>
      <c r="S795" s="7"/>
      <c r="T795" s="7"/>
      <c r="U795" s="7"/>
      <c r="V795" s="7"/>
      <c r="W795" s="7"/>
      <c r="X795" s="7"/>
      <c r="Y795" s="7"/>
    </row>
    <row r="796" spans="3:25" x14ac:dyDescent="0.2">
      <c r="C796" s="7"/>
      <c r="D796" s="7"/>
      <c r="E796" s="7"/>
      <c r="F796" s="7"/>
      <c r="G796" s="7"/>
      <c r="H796" s="7"/>
      <c r="I796" s="7"/>
      <c r="J796" s="7"/>
      <c r="K796" s="7"/>
      <c r="L796" s="7"/>
      <c r="M796" s="7"/>
      <c r="N796" s="7"/>
      <c r="O796" s="7"/>
      <c r="P796" s="7"/>
      <c r="Q796" s="7"/>
      <c r="R796" s="7"/>
      <c r="S796" s="7"/>
      <c r="T796" s="7"/>
      <c r="U796" s="7"/>
      <c r="V796" s="7"/>
      <c r="W796" s="7"/>
      <c r="X796" s="7"/>
      <c r="Y796" s="7"/>
    </row>
    <row r="797" spans="3:25" x14ac:dyDescent="0.2">
      <c r="C797" s="7"/>
      <c r="D797" s="7"/>
      <c r="E797" s="7"/>
      <c r="F797" s="7"/>
      <c r="G797" s="7"/>
      <c r="H797" s="7"/>
      <c r="I797" s="7"/>
      <c r="J797" s="7"/>
      <c r="K797" s="7"/>
      <c r="L797" s="7"/>
      <c r="M797" s="7"/>
      <c r="N797" s="7"/>
      <c r="O797" s="7"/>
      <c r="P797" s="7"/>
      <c r="Q797" s="7"/>
      <c r="R797" s="7"/>
      <c r="S797" s="7"/>
      <c r="T797" s="7"/>
      <c r="U797" s="7"/>
      <c r="V797" s="7"/>
      <c r="W797" s="7"/>
      <c r="X797" s="7"/>
      <c r="Y797" s="7"/>
    </row>
    <row r="798" spans="3:25" x14ac:dyDescent="0.2">
      <c r="C798" s="7"/>
      <c r="D798" s="7"/>
      <c r="E798" s="7"/>
      <c r="F798" s="7"/>
      <c r="G798" s="7"/>
      <c r="H798" s="7"/>
      <c r="I798" s="7"/>
      <c r="J798" s="7"/>
      <c r="K798" s="7"/>
      <c r="L798" s="7"/>
      <c r="M798" s="7"/>
      <c r="N798" s="7"/>
      <c r="O798" s="7"/>
      <c r="P798" s="7"/>
      <c r="Q798" s="7"/>
      <c r="R798" s="7"/>
      <c r="S798" s="7"/>
      <c r="T798" s="7"/>
      <c r="U798" s="7"/>
      <c r="V798" s="7"/>
      <c r="W798" s="7"/>
      <c r="X798" s="7"/>
      <c r="Y798" s="7"/>
    </row>
    <row r="799" spans="3:25" x14ac:dyDescent="0.2">
      <c r="C799" s="7"/>
      <c r="D799" s="7"/>
      <c r="E799" s="7"/>
      <c r="F799" s="7"/>
      <c r="G799" s="7"/>
      <c r="H799" s="7"/>
      <c r="I799" s="7"/>
      <c r="J799" s="7"/>
      <c r="K799" s="7"/>
      <c r="L799" s="7"/>
      <c r="M799" s="7"/>
      <c r="N799" s="7"/>
      <c r="O799" s="7"/>
      <c r="P799" s="7"/>
      <c r="Q799" s="7"/>
      <c r="R799" s="7"/>
      <c r="S799" s="7"/>
      <c r="T799" s="7"/>
      <c r="U799" s="7"/>
      <c r="V799" s="7"/>
      <c r="W799" s="7"/>
      <c r="X799" s="7"/>
      <c r="Y799" s="7"/>
    </row>
    <row r="800" spans="3:25" x14ac:dyDescent="0.2">
      <c r="C800" s="7"/>
      <c r="D800" s="7"/>
      <c r="E800" s="7"/>
      <c r="F800" s="7"/>
      <c r="G800" s="7"/>
      <c r="H800" s="7"/>
      <c r="I800" s="7"/>
      <c r="J800" s="7"/>
      <c r="K800" s="7"/>
      <c r="L800" s="7"/>
      <c r="M800" s="7"/>
      <c r="N800" s="7"/>
      <c r="O800" s="7"/>
      <c r="P800" s="7"/>
      <c r="Q800" s="7"/>
      <c r="R800" s="7"/>
      <c r="S800" s="7"/>
      <c r="T800" s="7"/>
      <c r="U800" s="7"/>
      <c r="V800" s="7"/>
      <c r="W800" s="7"/>
      <c r="X800" s="7"/>
      <c r="Y800" s="7"/>
    </row>
    <row r="801" spans="3:25" x14ac:dyDescent="0.2">
      <c r="C801" s="7"/>
      <c r="D801" s="7"/>
      <c r="E801" s="7"/>
      <c r="F801" s="7"/>
      <c r="G801" s="7"/>
      <c r="H801" s="7"/>
      <c r="I801" s="7"/>
      <c r="J801" s="7"/>
      <c r="K801" s="7"/>
      <c r="L801" s="7"/>
      <c r="M801" s="7"/>
      <c r="N801" s="7"/>
      <c r="O801" s="7"/>
      <c r="P801" s="7"/>
      <c r="Q801" s="7"/>
      <c r="R801" s="7"/>
      <c r="S801" s="7"/>
      <c r="T801" s="7"/>
      <c r="U801" s="7"/>
      <c r="V801" s="7"/>
      <c r="W801" s="7"/>
      <c r="X801" s="7"/>
      <c r="Y801" s="7"/>
    </row>
    <row r="802" spans="3:25" x14ac:dyDescent="0.2">
      <c r="C802" s="7"/>
      <c r="D802" s="7"/>
      <c r="E802" s="7"/>
      <c r="F802" s="7"/>
      <c r="G802" s="7"/>
      <c r="H802" s="7"/>
      <c r="I802" s="7"/>
      <c r="J802" s="7"/>
      <c r="K802" s="7"/>
      <c r="L802" s="7"/>
      <c r="M802" s="7"/>
      <c r="N802" s="7"/>
      <c r="O802" s="7"/>
      <c r="P802" s="7"/>
      <c r="Q802" s="7"/>
      <c r="R802" s="7"/>
      <c r="S802" s="7"/>
      <c r="T802" s="7"/>
      <c r="U802" s="7"/>
      <c r="V802" s="7"/>
      <c r="W802" s="7"/>
      <c r="X802" s="7"/>
      <c r="Y802" s="7"/>
    </row>
    <row r="803" spans="3:25" x14ac:dyDescent="0.2">
      <c r="C803" s="7"/>
      <c r="D803" s="7"/>
      <c r="E803" s="7"/>
      <c r="F803" s="7"/>
      <c r="G803" s="7"/>
      <c r="H803" s="7"/>
      <c r="I803" s="7"/>
      <c r="J803" s="7"/>
      <c r="K803" s="7"/>
      <c r="L803" s="7"/>
      <c r="M803" s="7"/>
      <c r="N803" s="7"/>
      <c r="O803" s="7"/>
      <c r="P803" s="7"/>
      <c r="Q803" s="7"/>
      <c r="R803" s="7"/>
      <c r="S803" s="7"/>
      <c r="T803" s="7"/>
      <c r="U803" s="7"/>
      <c r="V803" s="7"/>
      <c r="W803" s="7"/>
      <c r="X803" s="7"/>
      <c r="Y803" s="7"/>
    </row>
    <row r="804" spans="3:25" x14ac:dyDescent="0.2">
      <c r="C804" s="7"/>
      <c r="D804" s="7"/>
      <c r="E804" s="7"/>
      <c r="F804" s="7"/>
      <c r="G804" s="7"/>
      <c r="H804" s="7"/>
      <c r="I804" s="7"/>
      <c r="J804" s="7"/>
      <c r="K804" s="7"/>
      <c r="L804" s="7"/>
      <c r="M804" s="7"/>
      <c r="N804" s="7"/>
      <c r="O804" s="7"/>
      <c r="P804" s="7"/>
      <c r="Q804" s="7"/>
      <c r="R804" s="7"/>
      <c r="S804" s="7"/>
      <c r="T804" s="7"/>
      <c r="U804" s="7"/>
      <c r="V804" s="7"/>
      <c r="W804" s="7"/>
      <c r="X804" s="7"/>
      <c r="Y804" s="7"/>
    </row>
    <row r="805" spans="3:25" x14ac:dyDescent="0.2">
      <c r="C805" s="7"/>
      <c r="D805" s="7"/>
      <c r="E805" s="7"/>
      <c r="F805" s="7"/>
      <c r="G805" s="7"/>
      <c r="H805" s="7"/>
      <c r="I805" s="7"/>
      <c r="J805" s="7"/>
      <c r="K805" s="7"/>
      <c r="L805" s="7"/>
      <c r="M805" s="7"/>
      <c r="N805" s="7"/>
      <c r="O805" s="7"/>
      <c r="P805" s="7"/>
      <c r="Q805" s="7"/>
      <c r="R805" s="7"/>
      <c r="S805" s="7"/>
      <c r="T805" s="7"/>
      <c r="U805" s="7"/>
      <c r="V805" s="7"/>
      <c r="W805" s="7"/>
      <c r="X805" s="7"/>
      <c r="Y805" s="7"/>
    </row>
    <row r="806" spans="3:25" x14ac:dyDescent="0.2">
      <c r="C806" s="7"/>
      <c r="D806" s="7"/>
      <c r="E806" s="7"/>
      <c r="F806" s="7"/>
      <c r="G806" s="7"/>
      <c r="H806" s="7"/>
      <c r="I806" s="7"/>
      <c r="J806" s="7"/>
      <c r="K806" s="7"/>
      <c r="L806" s="7"/>
      <c r="M806" s="7"/>
      <c r="N806" s="7"/>
      <c r="O806" s="7"/>
      <c r="P806" s="7"/>
      <c r="Q806" s="7"/>
      <c r="R806" s="7"/>
      <c r="S806" s="7"/>
      <c r="T806" s="7"/>
      <c r="U806" s="7"/>
      <c r="V806" s="7"/>
      <c r="W806" s="7"/>
      <c r="X806" s="7"/>
      <c r="Y806" s="7"/>
    </row>
    <row r="807" spans="3:25" x14ac:dyDescent="0.2">
      <c r="C807" s="7"/>
      <c r="D807" s="7"/>
      <c r="E807" s="7"/>
      <c r="F807" s="7"/>
      <c r="G807" s="7"/>
      <c r="H807" s="7"/>
      <c r="I807" s="7"/>
      <c r="J807" s="7"/>
      <c r="K807" s="7"/>
      <c r="L807" s="7"/>
      <c r="M807" s="7"/>
      <c r="N807" s="7"/>
      <c r="O807" s="7"/>
      <c r="P807" s="7"/>
      <c r="Q807" s="7"/>
      <c r="R807" s="7"/>
      <c r="S807" s="7"/>
      <c r="T807" s="7"/>
      <c r="U807" s="7"/>
      <c r="V807" s="7"/>
      <c r="W807" s="7"/>
      <c r="X807" s="7"/>
      <c r="Y807" s="7"/>
    </row>
    <row r="808" spans="3:25" x14ac:dyDescent="0.2">
      <c r="C808" s="7"/>
      <c r="D808" s="7"/>
      <c r="E808" s="7"/>
      <c r="F808" s="7"/>
      <c r="G808" s="7"/>
      <c r="H808" s="7"/>
      <c r="I808" s="7"/>
      <c r="J808" s="7"/>
      <c r="K808" s="7"/>
      <c r="L808" s="7"/>
      <c r="M808" s="7"/>
      <c r="N808" s="7"/>
      <c r="O808" s="7"/>
      <c r="P808" s="7"/>
      <c r="Q808" s="7"/>
      <c r="R808" s="7"/>
      <c r="S808" s="7"/>
      <c r="T808" s="7"/>
      <c r="U808" s="7"/>
      <c r="V808" s="7"/>
      <c r="W808" s="7"/>
      <c r="X808" s="7"/>
      <c r="Y808" s="7"/>
    </row>
    <row r="809" spans="3:25" x14ac:dyDescent="0.2">
      <c r="C809" s="7"/>
      <c r="D809" s="7"/>
      <c r="E809" s="7"/>
      <c r="F809" s="7"/>
      <c r="G809" s="7"/>
      <c r="H809" s="7"/>
      <c r="I809" s="7"/>
      <c r="J809" s="7"/>
      <c r="K809" s="7"/>
      <c r="L809" s="7"/>
      <c r="M809" s="7"/>
      <c r="N809" s="7"/>
      <c r="O809" s="7"/>
      <c r="P809" s="7"/>
      <c r="Q809" s="7"/>
      <c r="R809" s="7"/>
      <c r="S809" s="7"/>
      <c r="T809" s="7"/>
      <c r="U809" s="7"/>
      <c r="V809" s="7"/>
      <c r="W809" s="7"/>
      <c r="X809" s="7"/>
      <c r="Y809" s="7"/>
    </row>
    <row r="810" spans="3:25" x14ac:dyDescent="0.2">
      <c r="C810" s="7"/>
      <c r="D810" s="7"/>
      <c r="E810" s="7"/>
      <c r="F810" s="7"/>
      <c r="G810" s="7"/>
      <c r="H810" s="7"/>
      <c r="I810" s="7"/>
      <c r="J810" s="7"/>
      <c r="K810" s="7"/>
      <c r="L810" s="7"/>
      <c r="M810" s="7"/>
      <c r="N810" s="7"/>
      <c r="O810" s="7"/>
      <c r="P810" s="7"/>
      <c r="Q810" s="7"/>
      <c r="R810" s="7"/>
      <c r="S810" s="7"/>
      <c r="T810" s="7"/>
      <c r="U810" s="7"/>
      <c r="V810" s="7"/>
      <c r="W810" s="7"/>
      <c r="X810" s="7"/>
      <c r="Y810" s="7"/>
    </row>
    <row r="811" spans="3:25" x14ac:dyDescent="0.2">
      <c r="C811" s="7"/>
      <c r="D811" s="7"/>
      <c r="E811" s="7"/>
      <c r="F811" s="7"/>
      <c r="G811" s="7"/>
      <c r="H811" s="7"/>
      <c r="I811" s="7"/>
      <c r="J811" s="7"/>
      <c r="K811" s="7"/>
      <c r="L811" s="7"/>
      <c r="M811" s="7"/>
      <c r="N811" s="7"/>
      <c r="O811" s="7"/>
      <c r="P811" s="7"/>
      <c r="Q811" s="7"/>
      <c r="R811" s="7"/>
      <c r="S811" s="7"/>
      <c r="T811" s="7"/>
      <c r="U811" s="7"/>
      <c r="V811" s="7"/>
      <c r="W811" s="7"/>
      <c r="X811" s="7"/>
      <c r="Y811" s="7"/>
    </row>
    <row r="812" spans="3:25" x14ac:dyDescent="0.2">
      <c r="C812" s="7"/>
      <c r="D812" s="7"/>
      <c r="E812" s="7"/>
      <c r="F812" s="7"/>
      <c r="G812" s="7"/>
      <c r="H812" s="7"/>
      <c r="I812" s="7"/>
      <c r="J812" s="7"/>
      <c r="K812" s="7"/>
      <c r="L812" s="7"/>
      <c r="M812" s="7"/>
      <c r="N812" s="7"/>
      <c r="O812" s="7"/>
      <c r="P812" s="7"/>
      <c r="Q812" s="7"/>
      <c r="R812" s="7"/>
      <c r="S812" s="7"/>
      <c r="T812" s="7"/>
      <c r="U812" s="7"/>
      <c r="V812" s="7"/>
      <c r="W812" s="7"/>
      <c r="X812" s="7"/>
      <c r="Y812" s="7"/>
    </row>
    <row r="813" spans="3:25" x14ac:dyDescent="0.2">
      <c r="C813" s="7"/>
      <c r="D813" s="7"/>
      <c r="E813" s="7"/>
      <c r="F813" s="7"/>
      <c r="G813" s="7"/>
      <c r="H813" s="7"/>
      <c r="I813" s="7"/>
      <c r="J813" s="7"/>
      <c r="K813" s="7"/>
      <c r="L813" s="7"/>
      <c r="M813" s="7"/>
      <c r="N813" s="7"/>
      <c r="O813" s="7"/>
      <c r="P813" s="7"/>
      <c r="Q813" s="7"/>
      <c r="R813" s="7"/>
      <c r="S813" s="7"/>
      <c r="T813" s="7"/>
      <c r="U813" s="7"/>
      <c r="V813" s="7"/>
      <c r="W813" s="7"/>
      <c r="X813" s="7"/>
      <c r="Y813" s="7"/>
    </row>
    <row r="814" spans="3:25" x14ac:dyDescent="0.2">
      <c r="C814" s="7"/>
      <c r="D814" s="7"/>
      <c r="E814" s="7"/>
      <c r="F814" s="7"/>
      <c r="G814" s="7"/>
      <c r="H814" s="7"/>
      <c r="I814" s="7"/>
      <c r="J814" s="7"/>
      <c r="K814" s="7"/>
      <c r="L814" s="7"/>
      <c r="M814" s="7"/>
      <c r="N814" s="7"/>
      <c r="O814" s="7"/>
      <c r="P814" s="7"/>
      <c r="Q814" s="7"/>
      <c r="R814" s="7"/>
      <c r="S814" s="7"/>
      <c r="T814" s="7"/>
      <c r="U814" s="7"/>
      <c r="V814" s="7"/>
      <c r="W814" s="7"/>
      <c r="X814" s="7"/>
      <c r="Y814" s="7"/>
    </row>
    <row r="815" spans="3:25" x14ac:dyDescent="0.2">
      <c r="C815" s="7"/>
      <c r="D815" s="7"/>
      <c r="E815" s="7"/>
      <c r="F815" s="7"/>
      <c r="G815" s="7"/>
      <c r="H815" s="7"/>
      <c r="I815" s="7"/>
      <c r="J815" s="7"/>
      <c r="K815" s="7"/>
      <c r="L815" s="7"/>
      <c r="M815" s="7"/>
      <c r="N815" s="7"/>
      <c r="O815" s="7"/>
      <c r="P815" s="7"/>
      <c r="Q815" s="7"/>
      <c r="R815" s="7"/>
      <c r="S815" s="7"/>
      <c r="T815" s="7"/>
      <c r="U815" s="7"/>
      <c r="V815" s="7"/>
      <c r="W815" s="7"/>
      <c r="X815" s="7"/>
      <c r="Y815" s="7"/>
    </row>
    <row r="816" spans="3:25" x14ac:dyDescent="0.2">
      <c r="C816" s="7"/>
      <c r="D816" s="7"/>
      <c r="E816" s="7"/>
      <c r="F816" s="7"/>
      <c r="G816" s="7"/>
      <c r="H816" s="7"/>
      <c r="I816" s="7"/>
      <c r="J816" s="7"/>
      <c r="K816" s="7"/>
      <c r="L816" s="7"/>
      <c r="M816" s="7"/>
      <c r="N816" s="7"/>
      <c r="O816" s="7"/>
      <c r="P816" s="7"/>
      <c r="Q816" s="7"/>
      <c r="R816" s="7"/>
      <c r="S816" s="7"/>
      <c r="T816" s="7"/>
      <c r="U816" s="7"/>
      <c r="V816" s="7"/>
      <c r="W816" s="7"/>
      <c r="X816" s="7"/>
      <c r="Y816" s="7"/>
    </row>
    <row r="817" spans="3:25" x14ac:dyDescent="0.2">
      <c r="C817" s="7"/>
      <c r="D817" s="7"/>
      <c r="E817" s="7"/>
      <c r="F817" s="7"/>
      <c r="G817" s="7"/>
      <c r="H817" s="7"/>
      <c r="I817" s="7"/>
      <c r="J817" s="7"/>
      <c r="K817" s="7"/>
      <c r="L817" s="7"/>
      <c r="M817" s="7"/>
      <c r="N817" s="7"/>
      <c r="O817" s="7"/>
      <c r="P817" s="7"/>
      <c r="Q817" s="7"/>
      <c r="R817" s="7"/>
      <c r="S817" s="7"/>
      <c r="T817" s="7"/>
      <c r="U817" s="7"/>
      <c r="V817" s="7"/>
      <c r="W817" s="7"/>
      <c r="X817" s="7"/>
      <c r="Y817" s="7"/>
    </row>
    <row r="818" spans="3:25" x14ac:dyDescent="0.2">
      <c r="C818" s="7"/>
      <c r="D818" s="7"/>
      <c r="E818" s="7"/>
      <c r="F818" s="7"/>
      <c r="G818" s="7"/>
      <c r="H818" s="7"/>
      <c r="I818" s="7"/>
      <c r="J818" s="7"/>
      <c r="K818" s="7"/>
      <c r="L818" s="7"/>
      <c r="M818" s="7"/>
      <c r="N818" s="7"/>
      <c r="O818" s="7"/>
      <c r="P818" s="7"/>
      <c r="Q818" s="7"/>
      <c r="R818" s="7"/>
      <c r="S818" s="7"/>
      <c r="T818" s="7"/>
      <c r="U818" s="7"/>
      <c r="V818" s="7"/>
      <c r="W818" s="7"/>
      <c r="X818" s="7"/>
      <c r="Y818" s="7"/>
    </row>
    <row r="819" spans="3:25" x14ac:dyDescent="0.2">
      <c r="C819" s="7"/>
      <c r="D819" s="7"/>
      <c r="E819" s="7"/>
      <c r="F819" s="7"/>
      <c r="G819" s="7"/>
      <c r="H819" s="7"/>
      <c r="I819" s="7"/>
      <c r="J819" s="7"/>
      <c r="K819" s="7"/>
      <c r="L819" s="7"/>
      <c r="M819" s="7"/>
      <c r="N819" s="7"/>
      <c r="O819" s="7"/>
      <c r="P819" s="7"/>
      <c r="Q819" s="7"/>
      <c r="R819" s="7"/>
      <c r="S819" s="7"/>
      <c r="T819" s="7"/>
      <c r="U819" s="7"/>
      <c r="V819" s="7"/>
      <c r="W819" s="7"/>
      <c r="X819" s="7"/>
      <c r="Y819" s="7"/>
    </row>
    <row r="820" spans="3:25" x14ac:dyDescent="0.2">
      <c r="C820" s="7"/>
      <c r="D820" s="7"/>
      <c r="E820" s="7"/>
      <c r="F820" s="7"/>
      <c r="G820" s="7"/>
      <c r="H820" s="7"/>
      <c r="I820" s="7"/>
      <c r="J820" s="7"/>
      <c r="K820" s="7"/>
      <c r="L820" s="7"/>
      <c r="M820" s="7"/>
      <c r="N820" s="7"/>
      <c r="O820" s="7"/>
      <c r="P820" s="7"/>
      <c r="Q820" s="7"/>
      <c r="R820" s="7"/>
      <c r="S820" s="7"/>
      <c r="T820" s="7"/>
      <c r="U820" s="7"/>
      <c r="V820" s="7"/>
      <c r="W820" s="7"/>
      <c r="X820" s="7"/>
      <c r="Y820" s="7"/>
    </row>
    <row r="821" spans="3:25" x14ac:dyDescent="0.2">
      <c r="C821" s="7"/>
      <c r="D821" s="7"/>
      <c r="E821" s="7"/>
      <c r="F821" s="7"/>
      <c r="G821" s="7"/>
      <c r="H821" s="7"/>
      <c r="I821" s="7"/>
      <c r="J821" s="7"/>
      <c r="K821" s="7"/>
      <c r="L821" s="7"/>
      <c r="M821" s="7"/>
      <c r="N821" s="7"/>
      <c r="O821" s="7"/>
      <c r="P821" s="7"/>
      <c r="Q821" s="7"/>
      <c r="R821" s="7"/>
      <c r="S821" s="7"/>
      <c r="T821" s="7"/>
      <c r="U821" s="7"/>
      <c r="V821" s="7"/>
      <c r="W821" s="7"/>
      <c r="X821" s="7"/>
      <c r="Y821" s="7"/>
    </row>
    <row r="822" spans="3:25" x14ac:dyDescent="0.2">
      <c r="C822" s="7"/>
      <c r="D822" s="7"/>
      <c r="E822" s="7"/>
      <c r="F822" s="7"/>
      <c r="G822" s="7"/>
      <c r="H822" s="7"/>
      <c r="I822" s="7"/>
      <c r="J822" s="7"/>
      <c r="K822" s="7"/>
      <c r="L822" s="7"/>
      <c r="M822" s="7"/>
      <c r="N822" s="7"/>
      <c r="O822" s="7"/>
      <c r="P822" s="7"/>
      <c r="Q822" s="7"/>
      <c r="R822" s="7"/>
      <c r="S822" s="7"/>
      <c r="T822" s="7"/>
      <c r="U822" s="7"/>
      <c r="V822" s="7"/>
      <c r="W822" s="7"/>
      <c r="X822" s="7"/>
      <c r="Y822" s="7"/>
    </row>
    <row r="823" spans="3:25" x14ac:dyDescent="0.2">
      <c r="C823" s="7"/>
      <c r="D823" s="7"/>
      <c r="E823" s="7"/>
      <c r="F823" s="7"/>
      <c r="G823" s="7"/>
      <c r="H823" s="7"/>
      <c r="I823" s="7"/>
      <c r="J823" s="7"/>
      <c r="K823" s="7"/>
      <c r="L823" s="7"/>
      <c r="M823" s="7"/>
      <c r="N823" s="7"/>
      <c r="O823" s="7"/>
      <c r="P823" s="7"/>
      <c r="Q823" s="7"/>
      <c r="R823" s="7"/>
      <c r="S823" s="7"/>
      <c r="T823" s="7"/>
      <c r="U823" s="7"/>
      <c r="V823" s="7"/>
      <c r="W823" s="7"/>
      <c r="X823" s="7"/>
      <c r="Y823" s="7"/>
    </row>
    <row r="824" spans="3:25" x14ac:dyDescent="0.2">
      <c r="C824" s="7"/>
      <c r="D824" s="7"/>
      <c r="E824" s="7"/>
      <c r="F824" s="7"/>
      <c r="G824" s="7"/>
      <c r="H824" s="7"/>
      <c r="I824" s="7"/>
      <c r="J824" s="7"/>
      <c r="K824" s="7"/>
      <c r="L824" s="7"/>
      <c r="M824" s="7"/>
      <c r="N824" s="7"/>
      <c r="O824" s="7"/>
      <c r="P824" s="7"/>
      <c r="Q824" s="7"/>
      <c r="R824" s="7"/>
      <c r="S824" s="7"/>
      <c r="T824" s="7"/>
      <c r="U824" s="7"/>
      <c r="V824" s="7"/>
      <c r="W824" s="7"/>
      <c r="X824" s="7"/>
      <c r="Y824" s="7"/>
    </row>
    <row r="825" spans="3:25" x14ac:dyDescent="0.2">
      <c r="C825" s="7"/>
      <c r="D825" s="7"/>
      <c r="E825" s="7"/>
      <c r="F825" s="7"/>
      <c r="G825" s="7"/>
      <c r="H825" s="7"/>
      <c r="I825" s="7"/>
      <c r="J825" s="7"/>
      <c r="K825" s="7"/>
      <c r="L825" s="7"/>
      <c r="M825" s="7"/>
      <c r="N825" s="7"/>
      <c r="O825" s="7"/>
      <c r="P825" s="7"/>
      <c r="Q825" s="7"/>
      <c r="R825" s="7"/>
      <c r="S825" s="7"/>
      <c r="T825" s="7"/>
      <c r="U825" s="7"/>
      <c r="V825" s="7"/>
      <c r="W825" s="7"/>
      <c r="X825" s="7"/>
      <c r="Y825" s="7"/>
    </row>
    <row r="826" spans="3:25" x14ac:dyDescent="0.2">
      <c r="C826" s="7"/>
      <c r="D826" s="7"/>
      <c r="E826" s="7"/>
      <c r="F826" s="7"/>
      <c r="G826" s="7"/>
      <c r="H826" s="7"/>
      <c r="I826" s="7"/>
      <c r="J826" s="7"/>
      <c r="K826" s="7"/>
      <c r="L826" s="7"/>
      <c r="M826" s="7"/>
      <c r="N826" s="7"/>
      <c r="O826" s="7"/>
      <c r="P826" s="7"/>
      <c r="Q826" s="7"/>
      <c r="R826" s="7"/>
      <c r="S826" s="7"/>
      <c r="T826" s="7"/>
      <c r="U826" s="7"/>
      <c r="V826" s="7"/>
      <c r="W826" s="7"/>
      <c r="X826" s="7"/>
      <c r="Y826" s="7"/>
    </row>
    <row r="827" spans="3:25" x14ac:dyDescent="0.2">
      <c r="C827" s="7"/>
      <c r="D827" s="7"/>
      <c r="E827" s="7"/>
      <c r="F827" s="7"/>
      <c r="G827" s="7"/>
      <c r="H827" s="7"/>
      <c r="I827" s="7"/>
      <c r="J827" s="7"/>
      <c r="K827" s="7"/>
      <c r="L827" s="7"/>
      <c r="M827" s="7"/>
      <c r="N827" s="7"/>
      <c r="O827" s="7"/>
      <c r="P827" s="7"/>
      <c r="Q827" s="7"/>
      <c r="R827" s="7"/>
      <c r="S827" s="7"/>
      <c r="T827" s="7"/>
      <c r="U827" s="7"/>
      <c r="V827" s="7"/>
      <c r="W827" s="7"/>
      <c r="X827" s="7"/>
      <c r="Y827" s="7"/>
    </row>
    <row r="828" spans="3:25" x14ac:dyDescent="0.2">
      <c r="C828" s="7"/>
      <c r="D828" s="7"/>
      <c r="E828" s="7"/>
      <c r="F828" s="7"/>
      <c r="G828" s="7"/>
      <c r="H828" s="7"/>
      <c r="I828" s="7"/>
      <c r="J828" s="7"/>
      <c r="K828" s="7"/>
      <c r="L828" s="7"/>
      <c r="M828" s="7"/>
      <c r="N828" s="7"/>
      <c r="O828" s="7"/>
      <c r="P828" s="7"/>
      <c r="Q828" s="7"/>
      <c r="R828" s="7"/>
      <c r="S828" s="7"/>
      <c r="T828" s="7"/>
      <c r="U828" s="7"/>
      <c r="V828" s="7"/>
      <c r="W828" s="7"/>
      <c r="X828" s="7"/>
      <c r="Y828" s="7"/>
    </row>
    <row r="829" spans="3:25" x14ac:dyDescent="0.2">
      <c r="C829" s="7"/>
      <c r="D829" s="7"/>
      <c r="E829" s="7"/>
      <c r="F829" s="7"/>
      <c r="G829" s="7"/>
      <c r="H829" s="7"/>
      <c r="I829" s="7"/>
      <c r="J829" s="7"/>
      <c r="K829" s="7"/>
      <c r="L829" s="7"/>
      <c r="M829" s="7"/>
      <c r="N829" s="7"/>
      <c r="O829" s="7"/>
      <c r="P829" s="7"/>
      <c r="Q829" s="7"/>
      <c r="R829" s="7"/>
      <c r="S829" s="7"/>
      <c r="T829" s="7"/>
      <c r="U829" s="7"/>
      <c r="V829" s="7"/>
      <c r="W829" s="7"/>
      <c r="X829" s="7"/>
      <c r="Y829" s="7"/>
    </row>
    <row r="830" spans="3:25" x14ac:dyDescent="0.2">
      <c r="C830" s="7"/>
      <c r="D830" s="7"/>
      <c r="E830" s="7"/>
      <c r="F830" s="7"/>
      <c r="G830" s="7"/>
      <c r="H830" s="7"/>
      <c r="I830" s="7"/>
      <c r="J830" s="7"/>
      <c r="K830" s="7"/>
      <c r="L830" s="7"/>
      <c r="M830" s="7"/>
      <c r="N830" s="7"/>
      <c r="O830" s="7"/>
      <c r="P830" s="7"/>
      <c r="Q830" s="7"/>
      <c r="R830" s="7"/>
      <c r="S830" s="7"/>
      <c r="T830" s="7"/>
      <c r="U830" s="7"/>
      <c r="V830" s="7"/>
      <c r="W830" s="7"/>
      <c r="X830" s="7"/>
      <c r="Y830" s="7"/>
    </row>
    <row r="831" spans="3:25" x14ac:dyDescent="0.2">
      <c r="C831" s="7"/>
      <c r="D831" s="7"/>
      <c r="E831" s="7"/>
      <c r="F831" s="7"/>
      <c r="G831" s="7"/>
      <c r="H831" s="7"/>
      <c r="I831" s="7"/>
      <c r="J831" s="7"/>
      <c r="K831" s="7"/>
      <c r="L831" s="7"/>
      <c r="M831" s="7"/>
      <c r="N831" s="7"/>
      <c r="O831" s="7"/>
      <c r="P831" s="7"/>
      <c r="Q831" s="7"/>
      <c r="R831" s="7"/>
      <c r="S831" s="7"/>
      <c r="T831" s="7"/>
      <c r="U831" s="7"/>
      <c r="V831" s="7"/>
      <c r="W831" s="7"/>
      <c r="X831" s="7"/>
      <c r="Y831" s="7"/>
    </row>
    <row r="832" spans="3:25" x14ac:dyDescent="0.2">
      <c r="C832" s="7"/>
      <c r="D832" s="7"/>
      <c r="E832" s="7"/>
      <c r="F832" s="7"/>
      <c r="G832" s="7"/>
      <c r="H832" s="7"/>
      <c r="I832" s="7"/>
      <c r="J832" s="7"/>
      <c r="K832" s="7"/>
      <c r="L832" s="7"/>
      <c r="M832" s="7"/>
      <c r="N832" s="7"/>
      <c r="O832" s="7"/>
      <c r="P832" s="7"/>
      <c r="Q832" s="7"/>
      <c r="R832" s="7"/>
      <c r="S832" s="7"/>
      <c r="T832" s="7"/>
      <c r="U832" s="7"/>
      <c r="V832" s="7"/>
      <c r="W832" s="7"/>
      <c r="X832" s="7"/>
      <c r="Y832" s="7"/>
    </row>
    <row r="833" spans="3:25" x14ac:dyDescent="0.2">
      <c r="C833" s="7"/>
      <c r="D833" s="7"/>
      <c r="E833" s="7"/>
      <c r="F833" s="7"/>
      <c r="G833" s="7"/>
      <c r="H833" s="7"/>
      <c r="I833" s="7"/>
      <c r="J833" s="7"/>
      <c r="K833" s="7"/>
      <c r="L833" s="7"/>
      <c r="M833" s="7"/>
      <c r="N833" s="7"/>
      <c r="O833" s="7"/>
      <c r="P833" s="7"/>
      <c r="Q833" s="7"/>
      <c r="R833" s="7"/>
      <c r="S833" s="7"/>
      <c r="T833" s="7"/>
      <c r="U833" s="7"/>
      <c r="V833" s="7"/>
      <c r="W833" s="7"/>
      <c r="X833" s="7"/>
      <c r="Y833" s="7"/>
    </row>
    <row r="834" spans="3:25" x14ac:dyDescent="0.2">
      <c r="C834" s="7"/>
      <c r="D834" s="7"/>
      <c r="E834" s="7"/>
      <c r="F834" s="7"/>
      <c r="G834" s="7"/>
      <c r="H834" s="7"/>
      <c r="I834" s="7"/>
      <c r="J834" s="7"/>
      <c r="K834" s="7"/>
      <c r="L834" s="7"/>
      <c r="M834" s="7"/>
      <c r="N834" s="7"/>
      <c r="O834" s="7"/>
      <c r="P834" s="7"/>
      <c r="Q834" s="7"/>
      <c r="R834" s="7"/>
      <c r="S834" s="7"/>
      <c r="T834" s="7"/>
      <c r="U834" s="7"/>
      <c r="V834" s="7"/>
      <c r="W834" s="7"/>
      <c r="X834" s="7"/>
      <c r="Y834" s="7"/>
    </row>
    <row r="835" spans="3:25" x14ac:dyDescent="0.2">
      <c r="C835" s="7"/>
      <c r="D835" s="7"/>
      <c r="E835" s="7"/>
      <c r="F835" s="7"/>
      <c r="G835" s="7"/>
      <c r="H835" s="7"/>
      <c r="I835" s="7"/>
      <c r="J835" s="7"/>
      <c r="K835" s="7"/>
      <c r="L835" s="7"/>
      <c r="M835" s="7"/>
      <c r="N835" s="7"/>
      <c r="O835" s="7"/>
      <c r="P835" s="7"/>
      <c r="Q835" s="7"/>
      <c r="R835" s="7"/>
      <c r="S835" s="7"/>
      <c r="T835" s="7"/>
      <c r="U835" s="7"/>
      <c r="V835" s="7"/>
      <c r="W835" s="7"/>
      <c r="X835" s="7"/>
      <c r="Y835" s="7"/>
    </row>
    <row r="836" spans="3:25" x14ac:dyDescent="0.2">
      <c r="C836" s="7"/>
      <c r="D836" s="7"/>
      <c r="E836" s="7"/>
      <c r="F836" s="7"/>
      <c r="G836" s="7"/>
      <c r="H836" s="7"/>
      <c r="I836" s="7"/>
      <c r="J836" s="7"/>
      <c r="K836" s="7"/>
      <c r="L836" s="7"/>
      <c r="M836" s="7"/>
      <c r="N836" s="7"/>
      <c r="O836" s="7"/>
      <c r="P836" s="7"/>
      <c r="Q836" s="7"/>
      <c r="R836" s="7"/>
      <c r="S836" s="7"/>
      <c r="T836" s="7"/>
      <c r="U836" s="7"/>
      <c r="V836" s="7"/>
      <c r="W836" s="7"/>
      <c r="X836" s="7"/>
      <c r="Y836" s="7"/>
    </row>
    <row r="837" spans="3:25" x14ac:dyDescent="0.2">
      <c r="C837" s="7"/>
      <c r="D837" s="7"/>
      <c r="E837" s="7"/>
      <c r="F837" s="7"/>
      <c r="G837" s="7"/>
      <c r="H837" s="7"/>
      <c r="I837" s="7"/>
      <c r="J837" s="7"/>
      <c r="K837" s="7"/>
      <c r="L837" s="7"/>
      <c r="M837" s="7"/>
      <c r="N837" s="7"/>
      <c r="O837" s="7"/>
      <c r="P837" s="7"/>
      <c r="Q837" s="7"/>
      <c r="R837" s="7"/>
      <c r="S837" s="7"/>
      <c r="T837" s="7"/>
      <c r="U837" s="7"/>
      <c r="V837" s="7"/>
      <c r="W837" s="7"/>
      <c r="X837" s="7"/>
      <c r="Y837" s="7"/>
    </row>
    <row r="838" spans="3:25" x14ac:dyDescent="0.2">
      <c r="C838" s="7"/>
      <c r="D838" s="7"/>
      <c r="E838" s="7"/>
      <c r="F838" s="7"/>
      <c r="G838" s="7"/>
      <c r="H838" s="7"/>
      <c r="I838" s="7"/>
      <c r="J838" s="7"/>
      <c r="K838" s="7"/>
      <c r="L838" s="7"/>
      <c r="M838" s="7"/>
      <c r="N838" s="7"/>
      <c r="O838" s="7"/>
      <c r="P838" s="7"/>
      <c r="Q838" s="7"/>
      <c r="R838" s="7"/>
      <c r="S838" s="7"/>
      <c r="T838" s="7"/>
      <c r="U838" s="7"/>
      <c r="V838" s="7"/>
      <c r="W838" s="7"/>
      <c r="X838" s="7"/>
      <c r="Y838" s="7"/>
    </row>
    <row r="839" spans="3:25" x14ac:dyDescent="0.2">
      <c r="C839" s="7"/>
      <c r="D839" s="7"/>
      <c r="E839" s="7"/>
      <c r="F839" s="7"/>
      <c r="G839" s="7"/>
      <c r="H839" s="7"/>
      <c r="I839" s="7"/>
      <c r="J839" s="7"/>
      <c r="K839" s="7"/>
      <c r="L839" s="7"/>
      <c r="M839" s="7"/>
      <c r="N839" s="7"/>
      <c r="O839" s="7"/>
      <c r="P839" s="7"/>
      <c r="Q839" s="7"/>
      <c r="R839" s="7"/>
      <c r="S839" s="7"/>
      <c r="T839" s="7"/>
      <c r="U839" s="7"/>
      <c r="V839" s="7"/>
      <c r="W839" s="7"/>
      <c r="X839" s="7"/>
      <c r="Y839" s="7"/>
    </row>
    <row r="840" spans="3:25" x14ac:dyDescent="0.2">
      <c r="C840" s="7"/>
      <c r="D840" s="7"/>
      <c r="E840" s="7"/>
      <c r="F840" s="7"/>
      <c r="G840" s="7"/>
      <c r="H840" s="7"/>
      <c r="I840" s="7"/>
      <c r="J840" s="7"/>
      <c r="K840" s="7"/>
      <c r="L840" s="7"/>
      <c r="M840" s="7"/>
      <c r="N840" s="7"/>
      <c r="O840" s="7"/>
      <c r="P840" s="7"/>
      <c r="Q840" s="7"/>
      <c r="R840" s="7"/>
      <c r="S840" s="7"/>
      <c r="T840" s="7"/>
      <c r="U840" s="7"/>
      <c r="V840" s="7"/>
      <c r="W840" s="7"/>
      <c r="X840" s="7"/>
      <c r="Y840" s="7"/>
    </row>
    <row r="841" spans="3:25" x14ac:dyDescent="0.2">
      <c r="C841" s="7"/>
      <c r="D841" s="7"/>
      <c r="E841" s="7"/>
      <c r="F841" s="7"/>
      <c r="G841" s="7"/>
      <c r="H841" s="7"/>
      <c r="I841" s="7"/>
      <c r="J841" s="7"/>
      <c r="K841" s="7"/>
      <c r="L841" s="7"/>
      <c r="M841" s="7"/>
      <c r="N841" s="7"/>
      <c r="O841" s="7"/>
      <c r="P841" s="7"/>
      <c r="Q841" s="7"/>
      <c r="R841" s="7"/>
      <c r="S841" s="7"/>
      <c r="T841" s="7"/>
      <c r="U841" s="7"/>
      <c r="V841" s="7"/>
      <c r="W841" s="7"/>
      <c r="X841" s="7"/>
      <c r="Y841" s="7"/>
    </row>
    <row r="842" spans="3:25" x14ac:dyDescent="0.2">
      <c r="C842" s="7"/>
      <c r="D842" s="7"/>
      <c r="E842" s="7"/>
      <c r="F842" s="7"/>
      <c r="G842" s="7"/>
      <c r="H842" s="7"/>
      <c r="I842" s="7"/>
      <c r="J842" s="7"/>
      <c r="K842" s="7"/>
      <c r="L842" s="7"/>
      <c r="M842" s="7"/>
      <c r="N842" s="7"/>
      <c r="O842" s="7"/>
      <c r="P842" s="7"/>
      <c r="Q842" s="7"/>
      <c r="R842" s="7"/>
      <c r="S842" s="7"/>
      <c r="T842" s="7"/>
      <c r="U842" s="7"/>
      <c r="V842" s="7"/>
      <c r="W842" s="7"/>
      <c r="X842" s="7"/>
      <c r="Y842" s="7"/>
    </row>
    <row r="843" spans="3:25" x14ac:dyDescent="0.2">
      <c r="C843" s="7"/>
      <c r="D843" s="7"/>
      <c r="E843" s="7"/>
      <c r="F843" s="7"/>
      <c r="G843" s="7"/>
      <c r="H843" s="7"/>
      <c r="I843" s="7"/>
      <c r="J843" s="7"/>
      <c r="K843" s="7"/>
      <c r="L843" s="7"/>
      <c r="M843" s="7"/>
      <c r="N843" s="7"/>
      <c r="O843" s="7"/>
      <c r="P843" s="7"/>
      <c r="Q843" s="7"/>
      <c r="R843" s="7"/>
      <c r="S843" s="7"/>
      <c r="T843" s="7"/>
      <c r="U843" s="7"/>
      <c r="V843" s="7"/>
      <c r="W843" s="7"/>
      <c r="X843" s="7"/>
      <c r="Y843" s="7"/>
    </row>
    <row r="844" spans="3:25" x14ac:dyDescent="0.2">
      <c r="C844" s="7"/>
      <c r="D844" s="7"/>
      <c r="E844" s="7"/>
      <c r="F844" s="7"/>
      <c r="G844" s="7"/>
      <c r="H844" s="7"/>
      <c r="I844" s="7"/>
      <c r="J844" s="7"/>
      <c r="K844" s="7"/>
      <c r="L844" s="7"/>
      <c r="M844" s="7"/>
      <c r="N844" s="7"/>
      <c r="O844" s="7"/>
      <c r="P844" s="7"/>
      <c r="Q844" s="7"/>
      <c r="R844" s="7"/>
      <c r="S844" s="7"/>
      <c r="T844" s="7"/>
      <c r="U844" s="7"/>
      <c r="V844" s="7"/>
      <c r="W844" s="7"/>
      <c r="X844" s="7"/>
      <c r="Y844" s="7"/>
    </row>
    <row r="845" spans="3:25" x14ac:dyDescent="0.2">
      <c r="C845" s="7"/>
      <c r="D845" s="7"/>
      <c r="E845" s="7"/>
      <c r="F845" s="7"/>
      <c r="G845" s="7"/>
      <c r="H845" s="7"/>
      <c r="I845" s="7"/>
      <c r="J845" s="7"/>
      <c r="K845" s="7"/>
      <c r="L845" s="7"/>
      <c r="M845" s="7"/>
      <c r="N845" s="7"/>
      <c r="O845" s="7"/>
      <c r="P845" s="7"/>
      <c r="Q845" s="7"/>
      <c r="R845" s="7"/>
      <c r="S845" s="7"/>
      <c r="T845" s="7"/>
      <c r="U845" s="7"/>
      <c r="V845" s="7"/>
      <c r="W845" s="7"/>
      <c r="X845" s="7"/>
      <c r="Y845" s="7"/>
    </row>
    <row r="846" spans="3:25" x14ac:dyDescent="0.2">
      <c r="C846" s="7"/>
      <c r="D846" s="7"/>
      <c r="E846" s="7"/>
      <c r="F846" s="7"/>
      <c r="G846" s="7"/>
      <c r="H846" s="7"/>
      <c r="I846" s="7"/>
      <c r="J846" s="7"/>
      <c r="K846" s="7"/>
      <c r="L846" s="7"/>
      <c r="M846" s="7"/>
      <c r="N846" s="7"/>
      <c r="O846" s="7"/>
      <c r="P846" s="7"/>
      <c r="Q846" s="7"/>
      <c r="R846" s="7"/>
      <c r="S846" s="7"/>
      <c r="T846" s="7"/>
      <c r="U846" s="7"/>
      <c r="V846" s="7"/>
      <c r="W846" s="7"/>
      <c r="X846" s="7"/>
      <c r="Y846" s="7"/>
    </row>
    <row r="847" spans="3:25" x14ac:dyDescent="0.2">
      <c r="C847" s="7"/>
      <c r="D847" s="7"/>
      <c r="E847" s="7"/>
      <c r="F847" s="7"/>
      <c r="G847" s="7"/>
      <c r="H847" s="7"/>
      <c r="I847" s="7"/>
      <c r="J847" s="7"/>
      <c r="K847" s="7"/>
      <c r="L847" s="7"/>
      <c r="M847" s="7"/>
      <c r="N847" s="7"/>
      <c r="O847" s="7"/>
      <c r="P847" s="7"/>
      <c r="Q847" s="7"/>
      <c r="R847" s="7"/>
      <c r="S847" s="7"/>
      <c r="T847" s="7"/>
      <c r="U847" s="7"/>
      <c r="V847" s="7"/>
      <c r="W847" s="7"/>
      <c r="X847" s="7"/>
      <c r="Y847" s="7"/>
    </row>
    <row r="848" spans="3:25" x14ac:dyDescent="0.2">
      <c r="C848" s="7"/>
      <c r="D848" s="7"/>
      <c r="E848" s="7"/>
      <c r="F848" s="7"/>
      <c r="G848" s="7"/>
      <c r="H848" s="7"/>
      <c r="I848" s="7"/>
      <c r="J848" s="7"/>
      <c r="K848" s="7"/>
      <c r="L848" s="7"/>
      <c r="M848" s="7"/>
      <c r="N848" s="7"/>
      <c r="O848" s="7"/>
      <c r="P848" s="7"/>
      <c r="Q848" s="7"/>
      <c r="R848" s="7"/>
      <c r="S848" s="7"/>
      <c r="T848" s="7"/>
      <c r="U848" s="7"/>
      <c r="V848" s="7"/>
      <c r="W848" s="7"/>
      <c r="X848" s="7"/>
      <c r="Y848" s="7"/>
    </row>
    <row r="849" spans="3:25" x14ac:dyDescent="0.2">
      <c r="C849" s="7"/>
      <c r="D849" s="7"/>
      <c r="E849" s="7"/>
      <c r="F849" s="7"/>
      <c r="G849" s="7"/>
      <c r="H849" s="7"/>
      <c r="I849" s="7"/>
      <c r="J849" s="7"/>
      <c r="K849" s="7"/>
      <c r="L849" s="7"/>
      <c r="M849" s="7"/>
      <c r="N849" s="7"/>
      <c r="O849" s="7"/>
      <c r="P849" s="7"/>
      <c r="Q849" s="7"/>
      <c r="R849" s="7"/>
      <c r="S849" s="7"/>
      <c r="T849" s="7"/>
      <c r="U849" s="7"/>
      <c r="V849" s="7"/>
      <c r="W849" s="7"/>
      <c r="X849" s="7"/>
      <c r="Y849" s="7"/>
    </row>
    <row r="850" spans="3:25" x14ac:dyDescent="0.2">
      <c r="C850" s="7"/>
      <c r="D850" s="7"/>
      <c r="E850" s="7"/>
      <c r="F850" s="7"/>
      <c r="G850" s="7"/>
      <c r="H850" s="7"/>
      <c r="I850" s="7"/>
      <c r="J850" s="7"/>
      <c r="K850" s="7"/>
      <c r="L850" s="7"/>
      <c r="M850" s="7"/>
      <c r="N850" s="7"/>
      <c r="O850" s="7"/>
      <c r="P850" s="7"/>
      <c r="Q850" s="7"/>
      <c r="R850" s="7"/>
      <c r="S850" s="7"/>
      <c r="T850" s="7"/>
      <c r="U850" s="7"/>
      <c r="V850" s="7"/>
      <c r="W850" s="7"/>
      <c r="X850" s="7"/>
      <c r="Y850" s="7"/>
    </row>
    <row r="851" spans="3:25" x14ac:dyDescent="0.2">
      <c r="C851" s="7"/>
      <c r="D851" s="7"/>
      <c r="E851" s="7"/>
      <c r="F851" s="7"/>
      <c r="G851" s="7"/>
      <c r="H851" s="7"/>
      <c r="I851" s="7"/>
      <c r="J851" s="7"/>
      <c r="K851" s="7"/>
      <c r="L851" s="7"/>
      <c r="M851" s="7"/>
      <c r="N851" s="7"/>
      <c r="O851" s="7"/>
      <c r="P851" s="7"/>
      <c r="Q851" s="7"/>
      <c r="R851" s="7"/>
      <c r="S851" s="7"/>
      <c r="T851" s="7"/>
      <c r="U851" s="7"/>
      <c r="V851" s="7"/>
      <c r="W851" s="7"/>
      <c r="X851" s="7"/>
      <c r="Y851" s="7"/>
    </row>
    <row r="852" spans="3:25" x14ac:dyDescent="0.2">
      <c r="C852" s="7"/>
      <c r="D852" s="7"/>
      <c r="E852" s="7"/>
      <c r="F852" s="7"/>
      <c r="G852" s="7"/>
      <c r="H852" s="7"/>
      <c r="I852" s="7"/>
      <c r="J852" s="7"/>
      <c r="K852" s="7"/>
      <c r="L852" s="7"/>
      <c r="M852" s="7"/>
      <c r="N852" s="7"/>
      <c r="O852" s="7"/>
      <c r="P852" s="7"/>
      <c r="Q852" s="7"/>
      <c r="R852" s="7"/>
      <c r="S852" s="7"/>
      <c r="T852" s="7"/>
      <c r="U852" s="7"/>
      <c r="V852" s="7"/>
      <c r="W852" s="7"/>
      <c r="X852" s="7"/>
      <c r="Y852" s="7"/>
    </row>
    <row r="853" spans="3:25" x14ac:dyDescent="0.2">
      <c r="C853" s="7"/>
      <c r="D853" s="7"/>
      <c r="E853" s="7"/>
      <c r="F853" s="7"/>
      <c r="G853" s="7"/>
      <c r="H853" s="7"/>
      <c r="I853" s="7"/>
      <c r="J853" s="7"/>
      <c r="K853" s="7"/>
      <c r="L853" s="7"/>
      <c r="M853" s="7"/>
      <c r="N853" s="7"/>
      <c r="O853" s="7"/>
      <c r="P853" s="7"/>
      <c r="Q853" s="7"/>
      <c r="R853" s="7"/>
      <c r="S853" s="7"/>
      <c r="T853" s="7"/>
      <c r="U853" s="7"/>
      <c r="V853" s="7"/>
      <c r="W853" s="7"/>
      <c r="X853" s="7"/>
      <c r="Y853" s="7"/>
    </row>
    <row r="854" spans="3:25" x14ac:dyDescent="0.2">
      <c r="C854" s="7"/>
      <c r="D854" s="7"/>
      <c r="E854" s="7"/>
      <c r="F854" s="7"/>
      <c r="G854" s="7"/>
      <c r="H854" s="7"/>
      <c r="I854" s="7"/>
      <c r="J854" s="7"/>
      <c r="K854" s="7"/>
      <c r="L854" s="7"/>
      <c r="M854" s="7"/>
      <c r="N854" s="7"/>
      <c r="O854" s="7"/>
      <c r="P854" s="7"/>
      <c r="Q854" s="7"/>
      <c r="R854" s="7"/>
      <c r="S854" s="7"/>
      <c r="T854" s="7"/>
      <c r="U854" s="7"/>
      <c r="V854" s="7"/>
      <c r="W854" s="7"/>
      <c r="X854" s="7"/>
      <c r="Y854" s="7"/>
    </row>
    <row r="855" spans="3:25" x14ac:dyDescent="0.2">
      <c r="C855" s="7"/>
      <c r="D855" s="7"/>
      <c r="E855" s="7"/>
      <c r="F855" s="7"/>
      <c r="G855" s="7"/>
      <c r="H855" s="7"/>
      <c r="I855" s="7"/>
      <c r="J855" s="7"/>
      <c r="K855" s="7"/>
      <c r="L855" s="7"/>
      <c r="M855" s="7"/>
      <c r="N855" s="7"/>
      <c r="O855" s="7"/>
      <c r="P855" s="7"/>
      <c r="Q855" s="7"/>
      <c r="R855" s="7"/>
      <c r="S855" s="7"/>
      <c r="T855" s="7"/>
      <c r="U855" s="7"/>
      <c r="V855" s="7"/>
      <c r="W855" s="7"/>
      <c r="X855" s="7"/>
      <c r="Y855" s="7"/>
    </row>
    <row r="856" spans="3:25" x14ac:dyDescent="0.2">
      <c r="C856" s="7"/>
      <c r="D856" s="7"/>
      <c r="E856" s="7"/>
      <c r="F856" s="7"/>
      <c r="G856" s="7"/>
      <c r="H856" s="7"/>
      <c r="I856" s="7"/>
      <c r="J856" s="7"/>
      <c r="K856" s="7"/>
      <c r="L856" s="7"/>
      <c r="M856" s="7"/>
      <c r="N856" s="7"/>
      <c r="O856" s="7"/>
      <c r="P856" s="7"/>
      <c r="Q856" s="7"/>
      <c r="R856" s="7"/>
      <c r="S856" s="7"/>
      <c r="T856" s="7"/>
      <c r="U856" s="7"/>
      <c r="V856" s="7"/>
      <c r="W856" s="7"/>
      <c r="X856" s="7"/>
      <c r="Y856" s="7"/>
    </row>
    <row r="857" spans="3:25" x14ac:dyDescent="0.2">
      <c r="C857" s="7"/>
      <c r="D857" s="7"/>
      <c r="E857" s="7"/>
      <c r="F857" s="7"/>
      <c r="G857" s="7"/>
      <c r="H857" s="7"/>
      <c r="I857" s="7"/>
      <c r="J857" s="7"/>
      <c r="K857" s="7"/>
      <c r="L857" s="7"/>
      <c r="M857" s="7"/>
      <c r="N857" s="7"/>
      <c r="O857" s="7"/>
      <c r="P857" s="7"/>
      <c r="Q857" s="7"/>
      <c r="R857" s="7"/>
      <c r="S857" s="7"/>
      <c r="T857" s="7"/>
      <c r="U857" s="7"/>
      <c r="V857" s="7"/>
      <c r="W857" s="7"/>
      <c r="X857" s="7"/>
      <c r="Y857" s="7"/>
    </row>
    <row r="858" spans="3:25" x14ac:dyDescent="0.2">
      <c r="C858" s="7"/>
      <c r="D858" s="7"/>
      <c r="E858" s="7"/>
      <c r="F858" s="7"/>
      <c r="G858" s="7"/>
      <c r="H858" s="7"/>
      <c r="I858" s="7"/>
      <c r="J858" s="7"/>
      <c r="K858" s="7"/>
      <c r="L858" s="7"/>
      <c r="M858" s="7"/>
      <c r="N858" s="7"/>
      <c r="O858" s="7"/>
      <c r="P858" s="7"/>
      <c r="Q858" s="7"/>
      <c r="R858" s="7"/>
      <c r="S858" s="7"/>
      <c r="T858" s="7"/>
      <c r="U858" s="7"/>
      <c r="V858" s="7"/>
      <c r="W858" s="7"/>
      <c r="X858" s="7"/>
      <c r="Y858" s="7"/>
    </row>
    <row r="859" spans="3:25" x14ac:dyDescent="0.2">
      <c r="C859" s="7"/>
      <c r="D859" s="7"/>
      <c r="E859" s="7"/>
      <c r="F859" s="7"/>
      <c r="G859" s="7"/>
      <c r="H859" s="7"/>
      <c r="I859" s="7"/>
      <c r="J859" s="7"/>
      <c r="K859" s="7"/>
      <c r="L859" s="7"/>
      <c r="M859" s="7"/>
      <c r="N859" s="7"/>
      <c r="O859" s="7"/>
      <c r="P859" s="7"/>
      <c r="Q859" s="7"/>
      <c r="R859" s="7"/>
      <c r="S859" s="7"/>
      <c r="T859" s="7"/>
      <c r="U859" s="7"/>
      <c r="V859" s="7"/>
      <c r="W859" s="7"/>
      <c r="X859" s="7"/>
      <c r="Y859" s="7"/>
    </row>
    <row r="860" spans="3:25" x14ac:dyDescent="0.2">
      <c r="C860" s="7"/>
      <c r="D860" s="7"/>
      <c r="E860" s="7"/>
      <c r="F860" s="7"/>
      <c r="G860" s="7"/>
      <c r="H860" s="7"/>
      <c r="I860" s="7"/>
      <c r="J860" s="7"/>
      <c r="K860" s="7"/>
      <c r="L860" s="7"/>
      <c r="M860" s="7"/>
      <c r="N860" s="7"/>
      <c r="O860" s="7"/>
      <c r="P860" s="7"/>
      <c r="Q860" s="7"/>
      <c r="R860" s="7"/>
      <c r="S860" s="7"/>
      <c r="T860" s="7"/>
      <c r="U860" s="7"/>
      <c r="V860" s="7"/>
      <c r="W860" s="7"/>
      <c r="X860" s="7"/>
      <c r="Y860" s="7"/>
    </row>
    <row r="861" spans="3:25" x14ac:dyDescent="0.2">
      <c r="C861" s="7"/>
      <c r="D861" s="7"/>
      <c r="E861" s="7"/>
      <c r="F861" s="7"/>
      <c r="G861" s="7"/>
      <c r="H861" s="7"/>
      <c r="I861" s="7"/>
      <c r="J861" s="7"/>
      <c r="K861" s="7"/>
      <c r="L861" s="7"/>
      <c r="M861" s="7"/>
      <c r="N861" s="7"/>
      <c r="O861" s="7"/>
      <c r="P861" s="7"/>
      <c r="Q861" s="7"/>
      <c r="R861" s="7"/>
      <c r="S861" s="7"/>
      <c r="T861" s="7"/>
      <c r="U861" s="7"/>
      <c r="V861" s="7"/>
      <c r="W861" s="7"/>
      <c r="X861" s="7"/>
      <c r="Y861" s="7"/>
    </row>
    <row r="862" spans="3:25" x14ac:dyDescent="0.2">
      <c r="C862" s="7"/>
      <c r="D862" s="7"/>
      <c r="E862" s="7"/>
      <c r="F862" s="7"/>
      <c r="G862" s="7"/>
      <c r="H862" s="7"/>
      <c r="I862" s="7"/>
      <c r="J862" s="7"/>
      <c r="K862" s="7"/>
      <c r="L862" s="7"/>
      <c r="M862" s="7"/>
      <c r="N862" s="7"/>
      <c r="O862" s="7"/>
      <c r="P862" s="7"/>
      <c r="Q862" s="7"/>
      <c r="R862" s="7"/>
      <c r="S862" s="7"/>
      <c r="T862" s="7"/>
      <c r="U862" s="7"/>
      <c r="V862" s="7"/>
      <c r="W862" s="7"/>
      <c r="X862" s="7"/>
      <c r="Y862" s="7"/>
    </row>
    <row r="863" spans="3:25" x14ac:dyDescent="0.2">
      <c r="C863" s="7"/>
      <c r="D863" s="7"/>
      <c r="E863" s="7"/>
      <c r="F863" s="7"/>
      <c r="G863" s="7"/>
      <c r="H863" s="7"/>
      <c r="I863" s="7"/>
      <c r="J863" s="7"/>
      <c r="K863" s="7"/>
      <c r="L863" s="7"/>
      <c r="M863" s="7"/>
      <c r="N863" s="7"/>
      <c r="O863" s="7"/>
      <c r="P863" s="7"/>
      <c r="Q863" s="7"/>
      <c r="R863" s="7"/>
      <c r="S863" s="7"/>
      <c r="T863" s="7"/>
      <c r="U863" s="7"/>
      <c r="V863" s="7"/>
      <c r="W863" s="7"/>
      <c r="X863" s="7"/>
      <c r="Y863" s="7"/>
    </row>
    <row r="864" spans="3:25" x14ac:dyDescent="0.2">
      <c r="C864" s="7"/>
      <c r="D864" s="7"/>
      <c r="E864" s="7"/>
      <c r="F864" s="7"/>
      <c r="G864" s="7"/>
      <c r="H864" s="7"/>
      <c r="I864" s="7"/>
      <c r="J864" s="7"/>
      <c r="K864" s="7"/>
      <c r="L864" s="7"/>
      <c r="M864" s="7"/>
      <c r="N864" s="7"/>
      <c r="O864" s="7"/>
      <c r="P864" s="7"/>
      <c r="Q864" s="7"/>
      <c r="R864" s="7"/>
      <c r="S864" s="7"/>
      <c r="T864" s="7"/>
      <c r="U864" s="7"/>
      <c r="V864" s="7"/>
      <c r="W864" s="7"/>
      <c r="X864" s="7"/>
      <c r="Y864" s="7"/>
    </row>
    <row r="865" spans="3:25" x14ac:dyDescent="0.2">
      <c r="C865" s="7"/>
      <c r="D865" s="7"/>
      <c r="E865" s="7"/>
      <c r="F865" s="7"/>
      <c r="G865" s="7"/>
      <c r="H865" s="7"/>
      <c r="I865" s="7"/>
      <c r="J865" s="7"/>
      <c r="K865" s="7"/>
      <c r="L865" s="7"/>
      <c r="M865" s="7"/>
      <c r="N865" s="7"/>
      <c r="O865" s="7"/>
      <c r="P865" s="7"/>
      <c r="Q865" s="7"/>
      <c r="R865" s="7"/>
      <c r="S865" s="7"/>
      <c r="T865" s="7"/>
      <c r="U865" s="7"/>
      <c r="V865" s="7"/>
      <c r="W865" s="7"/>
      <c r="X865" s="7"/>
      <c r="Y865" s="7"/>
    </row>
    <row r="866" spans="3:25" x14ac:dyDescent="0.2">
      <c r="C866" s="7"/>
      <c r="D866" s="7"/>
      <c r="E866" s="7"/>
      <c r="F866" s="7"/>
      <c r="G866" s="7"/>
      <c r="H866" s="7"/>
      <c r="I866" s="7"/>
      <c r="J866" s="7"/>
      <c r="K866" s="7"/>
      <c r="L866" s="7"/>
      <c r="M866" s="7"/>
      <c r="N866" s="7"/>
      <c r="O866" s="7"/>
      <c r="P866" s="7"/>
      <c r="Q866" s="7"/>
      <c r="R866" s="7"/>
      <c r="S866" s="7"/>
      <c r="T866" s="7"/>
      <c r="U866" s="7"/>
      <c r="V866" s="7"/>
      <c r="W866" s="7"/>
      <c r="X866" s="7"/>
      <c r="Y866" s="7"/>
    </row>
    <row r="867" spans="3:25" x14ac:dyDescent="0.2">
      <c r="C867" s="7"/>
      <c r="D867" s="7"/>
      <c r="E867" s="7"/>
      <c r="F867" s="7"/>
      <c r="G867" s="7"/>
      <c r="H867" s="7"/>
      <c r="I867" s="7"/>
      <c r="J867" s="7"/>
      <c r="K867" s="7"/>
      <c r="L867" s="7"/>
      <c r="M867" s="7"/>
      <c r="N867" s="7"/>
      <c r="O867" s="7"/>
      <c r="P867" s="7"/>
      <c r="Q867" s="7"/>
      <c r="R867" s="7"/>
      <c r="S867" s="7"/>
      <c r="T867" s="7"/>
      <c r="U867" s="7"/>
      <c r="V867" s="7"/>
      <c r="W867" s="7"/>
      <c r="X867" s="7"/>
      <c r="Y867" s="7"/>
    </row>
    <row r="868" spans="3:25" x14ac:dyDescent="0.2">
      <c r="C868" s="7"/>
      <c r="D868" s="7"/>
      <c r="E868" s="7"/>
      <c r="F868" s="7"/>
      <c r="G868" s="7"/>
      <c r="H868" s="7"/>
      <c r="I868" s="7"/>
      <c r="J868" s="7"/>
      <c r="K868" s="7"/>
      <c r="L868" s="7"/>
      <c r="M868" s="7"/>
      <c r="N868" s="7"/>
      <c r="O868" s="7"/>
      <c r="P868" s="7"/>
      <c r="Q868" s="7"/>
      <c r="R868" s="7"/>
      <c r="S868" s="7"/>
      <c r="T868" s="7"/>
      <c r="U868" s="7"/>
      <c r="V868" s="7"/>
      <c r="W868" s="7"/>
      <c r="X868" s="7"/>
      <c r="Y868" s="7"/>
    </row>
    <row r="869" spans="3:25" x14ac:dyDescent="0.2">
      <c r="C869" s="7"/>
      <c r="D869" s="7"/>
      <c r="E869" s="7"/>
      <c r="F869" s="7"/>
      <c r="G869" s="7"/>
      <c r="H869" s="7"/>
      <c r="I869" s="7"/>
      <c r="J869" s="7"/>
      <c r="K869" s="7"/>
      <c r="L869" s="7"/>
      <c r="M869" s="7"/>
      <c r="N869" s="7"/>
      <c r="O869" s="7"/>
      <c r="P869" s="7"/>
      <c r="Q869" s="7"/>
      <c r="R869" s="7"/>
      <c r="S869" s="7"/>
      <c r="T869" s="7"/>
      <c r="U869" s="7"/>
      <c r="V869" s="7"/>
      <c r="W869" s="7"/>
      <c r="X869" s="7"/>
      <c r="Y869" s="7"/>
    </row>
    <row r="870" spans="3:25" x14ac:dyDescent="0.2">
      <c r="C870" s="7"/>
      <c r="D870" s="7"/>
      <c r="E870" s="7"/>
      <c r="F870" s="7"/>
      <c r="G870" s="7"/>
      <c r="H870" s="7"/>
      <c r="I870" s="7"/>
      <c r="J870" s="7"/>
      <c r="K870" s="7"/>
      <c r="L870" s="7"/>
      <c r="M870" s="7"/>
      <c r="N870" s="7"/>
      <c r="O870" s="7"/>
      <c r="P870" s="7"/>
      <c r="Q870" s="7"/>
      <c r="R870" s="7"/>
      <c r="S870" s="7"/>
      <c r="T870" s="7"/>
      <c r="U870" s="7"/>
      <c r="V870" s="7"/>
      <c r="W870" s="7"/>
      <c r="X870" s="7"/>
      <c r="Y870" s="7"/>
    </row>
    <row r="871" spans="3:25" x14ac:dyDescent="0.2">
      <c r="C871" s="7"/>
      <c r="D871" s="7"/>
      <c r="E871" s="7"/>
      <c r="F871" s="7"/>
      <c r="G871" s="7"/>
      <c r="H871" s="7"/>
      <c r="I871" s="7"/>
      <c r="J871" s="7"/>
      <c r="K871" s="7"/>
      <c r="L871" s="7"/>
      <c r="M871" s="7"/>
      <c r="N871" s="7"/>
      <c r="O871" s="7"/>
      <c r="P871" s="7"/>
      <c r="Q871" s="7"/>
      <c r="R871" s="7"/>
      <c r="S871" s="7"/>
      <c r="T871" s="7"/>
      <c r="U871" s="7"/>
      <c r="V871" s="7"/>
      <c r="W871" s="7"/>
      <c r="X871" s="7"/>
      <c r="Y871" s="7"/>
    </row>
    <row r="872" spans="3:25" x14ac:dyDescent="0.2">
      <c r="C872" s="7"/>
      <c r="D872" s="7"/>
      <c r="E872" s="7"/>
      <c r="F872" s="7"/>
      <c r="G872" s="7"/>
      <c r="H872" s="7"/>
      <c r="I872" s="7"/>
      <c r="J872" s="7"/>
      <c r="K872" s="7"/>
      <c r="L872" s="7"/>
      <c r="M872" s="7"/>
      <c r="N872" s="7"/>
      <c r="O872" s="7"/>
      <c r="P872" s="7"/>
      <c r="Q872" s="7"/>
      <c r="R872" s="7"/>
      <c r="S872" s="7"/>
      <c r="T872" s="7"/>
      <c r="U872" s="7"/>
      <c r="V872" s="7"/>
      <c r="W872" s="7"/>
      <c r="X872" s="7"/>
      <c r="Y872" s="7"/>
    </row>
    <row r="873" spans="3:25" x14ac:dyDescent="0.2">
      <c r="C873" s="7"/>
      <c r="D873" s="7"/>
      <c r="E873" s="7"/>
      <c r="F873" s="7"/>
      <c r="G873" s="7"/>
      <c r="H873" s="7"/>
      <c r="I873" s="7"/>
      <c r="J873" s="7"/>
      <c r="K873" s="7"/>
      <c r="L873" s="7"/>
      <c r="M873" s="7"/>
      <c r="N873" s="7"/>
      <c r="O873" s="7"/>
      <c r="P873" s="7"/>
      <c r="Q873" s="7"/>
      <c r="R873" s="7"/>
      <c r="S873" s="7"/>
      <c r="T873" s="7"/>
      <c r="U873" s="7"/>
      <c r="V873" s="7"/>
      <c r="W873" s="7"/>
      <c r="X873" s="7"/>
      <c r="Y873" s="7"/>
    </row>
    <row r="874" spans="3:25" x14ac:dyDescent="0.2">
      <c r="C874" s="7"/>
      <c r="D874" s="7"/>
      <c r="E874" s="7"/>
      <c r="F874" s="7"/>
      <c r="G874" s="7"/>
      <c r="H874" s="7"/>
      <c r="I874" s="7"/>
      <c r="J874" s="7"/>
      <c r="K874" s="7"/>
      <c r="L874" s="7"/>
      <c r="M874" s="7"/>
      <c r="N874" s="7"/>
      <c r="O874" s="7"/>
      <c r="P874" s="7"/>
      <c r="Q874" s="7"/>
      <c r="R874" s="7"/>
      <c r="S874" s="7"/>
      <c r="T874" s="7"/>
      <c r="U874" s="7"/>
      <c r="V874" s="7"/>
      <c r="W874" s="7"/>
      <c r="X874" s="7"/>
      <c r="Y874" s="7"/>
    </row>
    <row r="875" spans="3:25" x14ac:dyDescent="0.2">
      <c r="C875" s="7"/>
      <c r="D875" s="7"/>
      <c r="E875" s="7"/>
      <c r="F875" s="7"/>
      <c r="G875" s="7"/>
      <c r="H875" s="7"/>
      <c r="I875" s="7"/>
      <c r="J875" s="7"/>
      <c r="K875" s="7"/>
      <c r="L875" s="7"/>
      <c r="M875" s="7"/>
      <c r="N875" s="7"/>
      <c r="O875" s="7"/>
      <c r="P875" s="7"/>
      <c r="Q875" s="7"/>
      <c r="R875" s="7"/>
      <c r="S875" s="7"/>
      <c r="T875" s="7"/>
      <c r="U875" s="7"/>
      <c r="V875" s="7"/>
      <c r="W875" s="7"/>
      <c r="X875" s="7"/>
      <c r="Y875" s="7"/>
    </row>
    <row r="876" spans="3:25" x14ac:dyDescent="0.2">
      <c r="C876" s="7"/>
      <c r="D876" s="7"/>
      <c r="E876" s="7"/>
      <c r="F876" s="7"/>
      <c r="G876" s="7"/>
      <c r="H876" s="7"/>
      <c r="I876" s="7"/>
      <c r="J876" s="7"/>
      <c r="K876" s="7"/>
      <c r="L876" s="7"/>
      <c r="M876" s="7"/>
      <c r="N876" s="7"/>
      <c r="O876" s="7"/>
      <c r="P876" s="7"/>
      <c r="Q876" s="7"/>
      <c r="R876" s="7"/>
      <c r="S876" s="7"/>
      <c r="T876" s="7"/>
      <c r="U876" s="7"/>
      <c r="V876" s="7"/>
      <c r="W876" s="7"/>
      <c r="X876" s="7"/>
      <c r="Y876" s="7"/>
    </row>
    <row r="877" spans="3:25" x14ac:dyDescent="0.2">
      <c r="C877" s="7"/>
      <c r="D877" s="7"/>
      <c r="E877" s="7"/>
      <c r="F877" s="7"/>
      <c r="G877" s="7"/>
      <c r="H877" s="7"/>
      <c r="I877" s="7"/>
      <c r="J877" s="7"/>
      <c r="K877" s="7"/>
      <c r="L877" s="7"/>
      <c r="M877" s="7"/>
      <c r="N877" s="7"/>
      <c r="O877" s="7"/>
      <c r="P877" s="7"/>
      <c r="Q877" s="7"/>
      <c r="R877" s="7"/>
      <c r="S877" s="7"/>
      <c r="T877" s="7"/>
      <c r="U877" s="7"/>
      <c r="V877" s="7"/>
      <c r="W877" s="7"/>
      <c r="X877" s="7"/>
      <c r="Y877" s="7"/>
    </row>
    <row r="878" spans="3:25" x14ac:dyDescent="0.2">
      <c r="C878" s="7"/>
      <c r="D878" s="7"/>
      <c r="E878" s="7"/>
      <c r="F878" s="7"/>
      <c r="G878" s="7"/>
      <c r="H878" s="7"/>
      <c r="I878" s="7"/>
      <c r="J878" s="7"/>
      <c r="K878" s="7"/>
      <c r="L878" s="7"/>
      <c r="M878" s="7"/>
      <c r="N878" s="7"/>
      <c r="O878" s="7"/>
      <c r="P878" s="7"/>
      <c r="Q878" s="7"/>
      <c r="R878" s="7"/>
      <c r="S878" s="7"/>
      <c r="T878" s="7"/>
      <c r="U878" s="7"/>
      <c r="V878" s="7"/>
      <c r="W878" s="7"/>
      <c r="X878" s="7"/>
      <c r="Y878" s="7"/>
    </row>
    <row r="879" spans="3:25" x14ac:dyDescent="0.2">
      <c r="C879" s="7"/>
      <c r="D879" s="7"/>
      <c r="E879" s="7"/>
      <c r="F879" s="7"/>
      <c r="G879" s="7"/>
      <c r="H879" s="7"/>
      <c r="I879" s="7"/>
      <c r="J879" s="7"/>
      <c r="K879" s="7"/>
      <c r="L879" s="7"/>
      <c r="M879" s="7"/>
      <c r="N879" s="7"/>
      <c r="O879" s="7"/>
      <c r="P879" s="7"/>
      <c r="Q879" s="7"/>
      <c r="R879" s="7"/>
      <c r="S879" s="7"/>
      <c r="T879" s="7"/>
      <c r="U879" s="7"/>
      <c r="V879" s="7"/>
      <c r="W879" s="7"/>
      <c r="X879" s="7"/>
      <c r="Y879" s="7"/>
    </row>
    <row r="880" spans="3:25" x14ac:dyDescent="0.2">
      <c r="C880" s="7"/>
      <c r="D880" s="7"/>
      <c r="E880" s="7"/>
      <c r="F880" s="7"/>
      <c r="G880" s="7"/>
      <c r="H880" s="7"/>
      <c r="I880" s="7"/>
      <c r="J880" s="7"/>
      <c r="K880" s="7"/>
      <c r="L880" s="7"/>
      <c r="M880" s="7"/>
      <c r="N880" s="7"/>
      <c r="O880" s="7"/>
      <c r="P880" s="7"/>
      <c r="Q880" s="7"/>
      <c r="R880" s="7"/>
      <c r="S880" s="7"/>
      <c r="T880" s="7"/>
      <c r="U880" s="7"/>
      <c r="V880" s="7"/>
      <c r="W880" s="7"/>
      <c r="X880" s="7"/>
      <c r="Y880" s="7"/>
    </row>
    <row r="881" spans="3:25" x14ac:dyDescent="0.2">
      <c r="C881" s="7"/>
      <c r="D881" s="7"/>
      <c r="E881" s="7"/>
      <c r="F881" s="7"/>
      <c r="G881" s="7"/>
      <c r="H881" s="7"/>
      <c r="I881" s="7"/>
      <c r="J881" s="7"/>
      <c r="K881" s="7"/>
      <c r="L881" s="7"/>
      <c r="M881" s="7"/>
      <c r="N881" s="7"/>
      <c r="O881" s="7"/>
      <c r="P881" s="7"/>
      <c r="Q881" s="7"/>
      <c r="R881" s="7"/>
      <c r="S881" s="7"/>
      <c r="T881" s="7"/>
      <c r="U881" s="7"/>
      <c r="V881" s="7"/>
      <c r="W881" s="7"/>
      <c r="X881" s="7"/>
      <c r="Y881" s="7"/>
    </row>
    <row r="882" spans="3:25" x14ac:dyDescent="0.2">
      <c r="C882" s="7"/>
      <c r="D882" s="7"/>
      <c r="E882" s="7"/>
      <c r="F882" s="7"/>
      <c r="G882" s="7"/>
      <c r="H882" s="7"/>
      <c r="I882" s="7"/>
      <c r="J882" s="7"/>
      <c r="K882" s="7"/>
      <c r="L882" s="7"/>
      <c r="M882" s="7"/>
      <c r="N882" s="7"/>
      <c r="O882" s="7"/>
      <c r="P882" s="7"/>
      <c r="Q882" s="7"/>
      <c r="R882" s="7"/>
      <c r="S882" s="7"/>
      <c r="T882" s="7"/>
      <c r="U882" s="7"/>
      <c r="V882" s="7"/>
      <c r="W882" s="7"/>
      <c r="X882" s="7"/>
      <c r="Y882" s="7"/>
    </row>
    <row r="883" spans="3:25" x14ac:dyDescent="0.2">
      <c r="C883" s="7"/>
      <c r="D883" s="7"/>
      <c r="E883" s="7"/>
      <c r="F883" s="7"/>
      <c r="G883" s="7"/>
      <c r="H883" s="7"/>
      <c r="I883" s="7"/>
      <c r="J883" s="7"/>
      <c r="K883" s="7"/>
      <c r="L883" s="7"/>
      <c r="M883" s="7"/>
      <c r="N883" s="7"/>
      <c r="O883" s="7"/>
      <c r="P883" s="7"/>
      <c r="Q883" s="7"/>
      <c r="R883" s="7"/>
      <c r="S883" s="7"/>
      <c r="T883" s="7"/>
      <c r="U883" s="7"/>
      <c r="V883" s="7"/>
      <c r="W883" s="7"/>
      <c r="X883" s="7"/>
      <c r="Y883" s="7"/>
    </row>
    <row r="884" spans="3:25" x14ac:dyDescent="0.2">
      <c r="C884" s="7"/>
      <c r="D884" s="7"/>
      <c r="E884" s="7"/>
      <c r="F884" s="7"/>
      <c r="G884" s="7"/>
      <c r="H884" s="7"/>
      <c r="I884" s="7"/>
      <c r="J884" s="7"/>
      <c r="K884" s="7"/>
      <c r="L884" s="7"/>
      <c r="M884" s="7"/>
      <c r="N884" s="7"/>
      <c r="O884" s="7"/>
      <c r="P884" s="7"/>
      <c r="Q884" s="7"/>
      <c r="R884" s="7"/>
      <c r="S884" s="7"/>
      <c r="T884" s="7"/>
      <c r="U884" s="7"/>
      <c r="V884" s="7"/>
      <c r="W884" s="7"/>
      <c r="X884" s="7"/>
      <c r="Y884" s="7"/>
    </row>
    <row r="885" spans="3:25" x14ac:dyDescent="0.2">
      <c r="C885" s="7"/>
      <c r="D885" s="7"/>
      <c r="E885" s="7"/>
      <c r="F885" s="7"/>
      <c r="G885" s="7"/>
      <c r="H885" s="7"/>
      <c r="I885" s="7"/>
      <c r="J885" s="7"/>
      <c r="K885" s="7"/>
      <c r="L885" s="7"/>
      <c r="M885" s="7"/>
      <c r="N885" s="7"/>
      <c r="O885" s="7"/>
      <c r="P885" s="7"/>
      <c r="Q885" s="7"/>
      <c r="R885" s="7"/>
      <c r="S885" s="7"/>
      <c r="T885" s="7"/>
      <c r="U885" s="7"/>
      <c r="V885" s="7"/>
      <c r="W885" s="7"/>
      <c r="X885" s="7"/>
      <c r="Y885" s="7"/>
    </row>
    <row r="886" spans="3:25" x14ac:dyDescent="0.2">
      <c r="C886" s="7"/>
      <c r="D886" s="7"/>
      <c r="E886" s="7"/>
      <c r="F886" s="7"/>
      <c r="G886" s="7"/>
      <c r="H886" s="7"/>
      <c r="I886" s="7"/>
      <c r="J886" s="7"/>
      <c r="K886" s="7"/>
      <c r="L886" s="7"/>
      <c r="M886" s="7"/>
      <c r="N886" s="7"/>
      <c r="O886" s="7"/>
      <c r="P886" s="7"/>
      <c r="Q886" s="7"/>
      <c r="R886" s="7"/>
      <c r="S886" s="7"/>
      <c r="T886" s="7"/>
      <c r="U886" s="7"/>
      <c r="V886" s="7"/>
      <c r="W886" s="7"/>
      <c r="X886" s="7"/>
      <c r="Y886" s="7"/>
    </row>
    <row r="887" spans="3:25" x14ac:dyDescent="0.2">
      <c r="C887" s="7"/>
      <c r="D887" s="7"/>
      <c r="E887" s="7"/>
      <c r="F887" s="7"/>
      <c r="G887" s="7"/>
      <c r="H887" s="7"/>
      <c r="I887" s="7"/>
      <c r="J887" s="7"/>
      <c r="K887" s="7"/>
      <c r="L887" s="7"/>
      <c r="M887" s="7"/>
      <c r="N887" s="7"/>
      <c r="O887" s="7"/>
      <c r="P887" s="7"/>
      <c r="Q887" s="7"/>
      <c r="R887" s="7"/>
      <c r="S887" s="7"/>
      <c r="T887" s="7"/>
      <c r="U887" s="7"/>
      <c r="V887" s="7"/>
      <c r="W887" s="7"/>
      <c r="X887" s="7"/>
      <c r="Y887" s="7"/>
    </row>
    <row r="888" spans="3:25" x14ac:dyDescent="0.2">
      <c r="C888" s="7"/>
      <c r="D888" s="7"/>
      <c r="E888" s="7"/>
      <c r="F888" s="7"/>
      <c r="G888" s="7"/>
      <c r="H888" s="7"/>
      <c r="I888" s="7"/>
      <c r="J888" s="7"/>
      <c r="K888" s="7"/>
      <c r="L888" s="7"/>
      <c r="M888" s="7"/>
      <c r="N888" s="7"/>
      <c r="O888" s="7"/>
      <c r="P888" s="7"/>
      <c r="Q888" s="7"/>
      <c r="R888" s="7"/>
      <c r="S888" s="7"/>
      <c r="T888" s="7"/>
      <c r="U888" s="7"/>
      <c r="V888" s="7"/>
      <c r="W888" s="7"/>
      <c r="X888" s="7"/>
      <c r="Y888" s="7"/>
    </row>
    <row r="889" spans="3:25" x14ac:dyDescent="0.2">
      <c r="C889" s="7"/>
      <c r="D889" s="7"/>
      <c r="E889" s="7"/>
      <c r="F889" s="7"/>
      <c r="G889" s="7"/>
      <c r="H889" s="7"/>
      <c r="I889" s="7"/>
      <c r="J889" s="7"/>
      <c r="K889" s="7"/>
      <c r="L889" s="7"/>
      <c r="M889" s="7"/>
      <c r="N889" s="7"/>
      <c r="O889" s="7"/>
      <c r="P889" s="7"/>
      <c r="Q889" s="7"/>
      <c r="R889" s="7"/>
      <c r="S889" s="7"/>
      <c r="T889" s="7"/>
      <c r="U889" s="7"/>
      <c r="V889" s="7"/>
      <c r="W889" s="7"/>
      <c r="X889" s="7"/>
      <c r="Y889" s="7"/>
    </row>
    <row r="890" spans="3:25" x14ac:dyDescent="0.2">
      <c r="C890" s="7"/>
      <c r="D890" s="7"/>
      <c r="E890" s="7"/>
      <c r="F890" s="7"/>
      <c r="G890" s="7"/>
      <c r="H890" s="7"/>
      <c r="I890" s="7"/>
      <c r="J890" s="7"/>
      <c r="K890" s="7"/>
      <c r="L890" s="7"/>
      <c r="M890" s="7"/>
      <c r="N890" s="7"/>
      <c r="O890" s="7"/>
      <c r="P890" s="7"/>
      <c r="Q890" s="7"/>
      <c r="R890" s="7"/>
      <c r="S890" s="7"/>
      <c r="T890" s="7"/>
      <c r="U890" s="7"/>
      <c r="V890" s="7"/>
      <c r="W890" s="7"/>
      <c r="X890" s="7"/>
      <c r="Y890" s="7"/>
    </row>
    <row r="891" spans="3:25" x14ac:dyDescent="0.2">
      <c r="C891" s="7"/>
      <c r="D891" s="7"/>
      <c r="E891" s="7"/>
      <c r="F891" s="7"/>
      <c r="G891" s="7"/>
      <c r="H891" s="7"/>
      <c r="I891" s="7"/>
      <c r="J891" s="7"/>
      <c r="K891" s="7"/>
      <c r="L891" s="7"/>
      <c r="M891" s="7"/>
      <c r="N891" s="7"/>
      <c r="O891" s="7"/>
      <c r="P891" s="7"/>
      <c r="Q891" s="7"/>
      <c r="R891" s="7"/>
      <c r="S891" s="7"/>
      <c r="T891" s="7"/>
      <c r="U891" s="7"/>
      <c r="V891" s="7"/>
      <c r="W891" s="7"/>
      <c r="X891" s="7"/>
      <c r="Y891" s="7"/>
    </row>
    <row r="892" spans="3:25" x14ac:dyDescent="0.2">
      <c r="C892" s="7"/>
      <c r="D892" s="7"/>
      <c r="E892" s="7"/>
      <c r="F892" s="7"/>
      <c r="G892" s="7"/>
      <c r="H892" s="7"/>
      <c r="I892" s="7"/>
      <c r="J892" s="7"/>
      <c r="K892" s="7"/>
      <c r="L892" s="7"/>
      <c r="M892" s="7"/>
      <c r="N892" s="7"/>
      <c r="O892" s="7"/>
      <c r="P892" s="7"/>
      <c r="Q892" s="7"/>
      <c r="R892" s="7"/>
      <c r="S892" s="7"/>
      <c r="T892" s="7"/>
      <c r="U892" s="7"/>
      <c r="V892" s="7"/>
      <c r="W892" s="7"/>
      <c r="X892" s="7"/>
      <c r="Y892" s="7"/>
    </row>
    <row r="893" spans="3:25" x14ac:dyDescent="0.2">
      <c r="C893" s="7"/>
      <c r="D893" s="7"/>
      <c r="E893" s="7"/>
      <c r="F893" s="7"/>
      <c r="G893" s="7"/>
      <c r="H893" s="7"/>
      <c r="I893" s="7"/>
      <c r="J893" s="7"/>
      <c r="K893" s="7"/>
      <c r="L893" s="7"/>
      <c r="M893" s="7"/>
      <c r="N893" s="7"/>
      <c r="O893" s="7"/>
      <c r="P893" s="7"/>
      <c r="Q893" s="7"/>
      <c r="R893" s="7"/>
      <c r="S893" s="7"/>
      <c r="T893" s="7"/>
      <c r="U893" s="7"/>
      <c r="V893" s="7"/>
      <c r="W893" s="7"/>
      <c r="X893" s="7"/>
      <c r="Y893" s="7"/>
    </row>
    <row r="894" spans="3:25" x14ac:dyDescent="0.2">
      <c r="C894" s="7"/>
      <c r="D894" s="7"/>
      <c r="E894" s="7"/>
      <c r="F894" s="7"/>
      <c r="G894" s="7"/>
      <c r="H894" s="7"/>
      <c r="I894" s="7"/>
      <c r="J894" s="7"/>
      <c r="K894" s="7"/>
      <c r="L894" s="7"/>
      <c r="M894" s="7"/>
      <c r="N894" s="7"/>
      <c r="O894" s="7"/>
      <c r="P894" s="7"/>
      <c r="Q894" s="7"/>
      <c r="R894" s="7"/>
      <c r="S894" s="7"/>
      <c r="T894" s="7"/>
      <c r="U894" s="7"/>
      <c r="V894" s="7"/>
      <c r="W894" s="7"/>
      <c r="X894" s="7"/>
      <c r="Y894" s="7"/>
    </row>
    <row r="895" spans="3:25" x14ac:dyDescent="0.2">
      <c r="C895" s="7"/>
      <c r="D895" s="7"/>
      <c r="E895" s="7"/>
      <c r="F895" s="7"/>
      <c r="G895" s="7"/>
      <c r="H895" s="7"/>
      <c r="I895" s="7"/>
      <c r="J895" s="7"/>
      <c r="K895" s="7"/>
      <c r="L895" s="7"/>
      <c r="M895" s="7"/>
      <c r="N895" s="7"/>
      <c r="O895" s="7"/>
      <c r="P895" s="7"/>
      <c r="Q895" s="7"/>
      <c r="R895" s="7"/>
      <c r="S895" s="7"/>
      <c r="T895" s="7"/>
      <c r="U895" s="7"/>
      <c r="V895" s="7"/>
      <c r="W895" s="7"/>
      <c r="X895" s="7"/>
      <c r="Y895" s="7"/>
    </row>
    <row r="896" spans="3:25" x14ac:dyDescent="0.2">
      <c r="C896" s="7"/>
      <c r="D896" s="7"/>
      <c r="E896" s="7"/>
      <c r="F896" s="7"/>
      <c r="G896" s="7"/>
      <c r="H896" s="7"/>
      <c r="I896" s="7"/>
      <c r="J896" s="7"/>
      <c r="K896" s="7"/>
      <c r="L896" s="7"/>
      <c r="M896" s="7"/>
      <c r="N896" s="7"/>
      <c r="O896" s="7"/>
      <c r="P896" s="7"/>
      <c r="Q896" s="7"/>
      <c r="R896" s="7"/>
      <c r="S896" s="7"/>
      <c r="T896" s="7"/>
      <c r="U896" s="7"/>
      <c r="V896" s="7"/>
      <c r="W896" s="7"/>
      <c r="X896" s="7"/>
      <c r="Y896" s="7"/>
    </row>
    <row r="897" spans="3:25" x14ac:dyDescent="0.2">
      <c r="C897" s="7"/>
      <c r="D897" s="7"/>
      <c r="E897" s="7"/>
      <c r="F897" s="7"/>
      <c r="G897" s="7"/>
      <c r="H897" s="7"/>
      <c r="I897" s="7"/>
      <c r="J897" s="7"/>
      <c r="K897" s="7"/>
      <c r="L897" s="7"/>
      <c r="M897" s="7"/>
      <c r="N897" s="7"/>
      <c r="O897" s="7"/>
      <c r="P897" s="7"/>
      <c r="Q897" s="7"/>
      <c r="R897" s="7"/>
      <c r="S897" s="7"/>
      <c r="T897" s="7"/>
      <c r="U897" s="7"/>
      <c r="V897" s="7"/>
      <c r="W897" s="7"/>
      <c r="X897" s="7"/>
      <c r="Y897" s="7"/>
    </row>
    <row r="898" spans="3:25" x14ac:dyDescent="0.2">
      <c r="C898" s="7"/>
      <c r="D898" s="7"/>
      <c r="E898" s="7"/>
      <c r="F898" s="7"/>
      <c r="G898" s="7"/>
      <c r="H898" s="7"/>
      <c r="I898" s="7"/>
      <c r="J898" s="7"/>
      <c r="K898" s="7"/>
      <c r="L898" s="7"/>
      <c r="M898" s="7"/>
      <c r="N898" s="7"/>
      <c r="O898" s="7"/>
      <c r="P898" s="7"/>
      <c r="Q898" s="7"/>
      <c r="R898" s="7"/>
      <c r="S898" s="7"/>
      <c r="T898" s="7"/>
      <c r="U898" s="7"/>
      <c r="V898" s="7"/>
      <c r="W898" s="7"/>
      <c r="X898" s="7"/>
      <c r="Y898" s="7"/>
    </row>
    <row r="899" spans="3:25" x14ac:dyDescent="0.2">
      <c r="C899" s="7"/>
      <c r="D899" s="7"/>
      <c r="E899" s="7"/>
      <c r="F899" s="7"/>
      <c r="G899" s="7"/>
      <c r="H899" s="7"/>
      <c r="I899" s="7"/>
      <c r="J899" s="7"/>
      <c r="K899" s="7"/>
      <c r="L899" s="7"/>
      <c r="M899" s="7"/>
      <c r="N899" s="7"/>
      <c r="O899" s="7"/>
      <c r="P899" s="7"/>
      <c r="Q899" s="7"/>
      <c r="R899" s="7"/>
      <c r="S899" s="7"/>
      <c r="T899" s="7"/>
      <c r="U899" s="7"/>
      <c r="V899" s="7"/>
      <c r="W899" s="7"/>
      <c r="X899" s="7"/>
      <c r="Y899" s="7"/>
    </row>
    <row r="900" spans="3:25" x14ac:dyDescent="0.2">
      <c r="C900" s="7"/>
      <c r="D900" s="7"/>
      <c r="E900" s="7"/>
      <c r="F900" s="7"/>
      <c r="G900" s="7"/>
      <c r="H900" s="7"/>
      <c r="I900" s="7"/>
      <c r="J900" s="7"/>
      <c r="K900" s="7"/>
      <c r="L900" s="7"/>
      <c r="M900" s="7"/>
      <c r="N900" s="7"/>
      <c r="O900" s="7"/>
      <c r="P900" s="7"/>
      <c r="Q900" s="7"/>
      <c r="R900" s="7"/>
      <c r="S900" s="7"/>
      <c r="T900" s="7"/>
      <c r="U900" s="7"/>
      <c r="V900" s="7"/>
      <c r="W900" s="7"/>
      <c r="X900" s="7"/>
      <c r="Y900" s="7"/>
    </row>
    <row r="901" spans="3:25" x14ac:dyDescent="0.2">
      <c r="C901" s="7"/>
      <c r="D901" s="7"/>
      <c r="E901" s="7"/>
      <c r="F901" s="7"/>
      <c r="G901" s="7"/>
      <c r="H901" s="7"/>
      <c r="I901" s="7"/>
      <c r="J901" s="7"/>
      <c r="K901" s="7"/>
      <c r="L901" s="7"/>
      <c r="M901" s="7"/>
      <c r="N901" s="7"/>
      <c r="O901" s="7"/>
      <c r="P901" s="7"/>
      <c r="Q901" s="7"/>
      <c r="R901" s="7"/>
      <c r="S901" s="7"/>
      <c r="T901" s="7"/>
      <c r="U901" s="7"/>
      <c r="V901" s="7"/>
      <c r="W901" s="7"/>
      <c r="X901" s="7"/>
      <c r="Y901" s="7"/>
    </row>
    <row r="902" spans="3:25" x14ac:dyDescent="0.2">
      <c r="C902" s="7"/>
      <c r="D902" s="7"/>
      <c r="E902" s="7"/>
      <c r="F902" s="7"/>
      <c r="G902" s="7"/>
      <c r="H902" s="7"/>
      <c r="I902" s="7"/>
      <c r="J902" s="7"/>
      <c r="K902" s="7"/>
      <c r="L902" s="7"/>
      <c r="M902" s="7"/>
      <c r="N902" s="7"/>
      <c r="O902" s="7"/>
      <c r="P902" s="7"/>
      <c r="Q902" s="7"/>
      <c r="R902" s="7"/>
      <c r="S902" s="7"/>
      <c r="T902" s="7"/>
      <c r="U902" s="7"/>
      <c r="V902" s="7"/>
      <c r="W902" s="7"/>
      <c r="X902" s="7"/>
      <c r="Y902" s="7"/>
    </row>
    <row r="903" spans="3:25" x14ac:dyDescent="0.2">
      <c r="C903" s="7"/>
      <c r="D903" s="7"/>
      <c r="E903" s="7"/>
      <c r="F903" s="7"/>
      <c r="G903" s="7"/>
      <c r="H903" s="7"/>
      <c r="I903" s="7"/>
      <c r="J903" s="7"/>
      <c r="K903" s="7"/>
      <c r="L903" s="7"/>
      <c r="M903" s="7"/>
      <c r="N903" s="7"/>
      <c r="O903" s="7"/>
      <c r="P903" s="7"/>
      <c r="Q903" s="7"/>
      <c r="R903" s="7"/>
      <c r="S903" s="7"/>
      <c r="T903" s="7"/>
      <c r="U903" s="7"/>
      <c r="V903" s="7"/>
      <c r="W903" s="7"/>
      <c r="X903" s="7"/>
      <c r="Y903" s="7"/>
    </row>
    <row r="904" spans="3:25" x14ac:dyDescent="0.2">
      <c r="C904" s="7"/>
      <c r="D904" s="7"/>
      <c r="E904" s="7"/>
      <c r="F904" s="7"/>
      <c r="G904" s="7"/>
      <c r="H904" s="7"/>
      <c r="I904" s="7"/>
      <c r="J904" s="7"/>
      <c r="K904" s="7"/>
      <c r="L904" s="7"/>
      <c r="M904" s="7"/>
      <c r="N904" s="7"/>
      <c r="O904" s="7"/>
      <c r="P904" s="7"/>
      <c r="Q904" s="7"/>
      <c r="R904" s="7"/>
      <c r="S904" s="7"/>
      <c r="T904" s="7"/>
      <c r="U904" s="7"/>
      <c r="V904" s="7"/>
      <c r="W904" s="7"/>
      <c r="X904" s="7"/>
      <c r="Y904" s="7"/>
    </row>
    <row r="905" spans="3:25" x14ac:dyDescent="0.2">
      <c r="C905" s="7"/>
      <c r="D905" s="7"/>
      <c r="E905" s="7"/>
      <c r="F905" s="7"/>
      <c r="G905" s="7"/>
      <c r="H905" s="7"/>
      <c r="I905" s="7"/>
      <c r="J905" s="7"/>
      <c r="K905" s="7"/>
      <c r="L905" s="7"/>
      <c r="M905" s="7"/>
      <c r="N905" s="7"/>
      <c r="O905" s="7"/>
      <c r="P905" s="7"/>
      <c r="Q905" s="7"/>
      <c r="R905" s="7"/>
      <c r="S905" s="7"/>
      <c r="T905" s="7"/>
      <c r="U905" s="7"/>
      <c r="V905" s="7"/>
      <c r="W905" s="7"/>
      <c r="X905" s="7"/>
      <c r="Y905" s="7"/>
    </row>
    <row r="906" spans="3:25" x14ac:dyDescent="0.2">
      <c r="C906" s="7"/>
      <c r="D906" s="7"/>
      <c r="E906" s="7"/>
      <c r="F906" s="7"/>
      <c r="G906" s="7"/>
      <c r="H906" s="7"/>
      <c r="I906" s="7"/>
      <c r="J906" s="7"/>
      <c r="K906" s="7"/>
      <c r="L906" s="7"/>
      <c r="M906" s="7"/>
      <c r="N906" s="7"/>
      <c r="O906" s="7"/>
      <c r="P906" s="7"/>
      <c r="Q906" s="7"/>
      <c r="R906" s="7"/>
      <c r="S906" s="7"/>
      <c r="T906" s="7"/>
      <c r="U906" s="7"/>
      <c r="V906" s="7"/>
      <c r="W906" s="7"/>
      <c r="X906" s="7"/>
      <c r="Y906" s="7"/>
    </row>
    <row r="907" spans="3:25" x14ac:dyDescent="0.2">
      <c r="C907" s="7"/>
      <c r="D907" s="7"/>
      <c r="E907" s="7"/>
      <c r="F907" s="7"/>
      <c r="G907" s="7"/>
      <c r="H907" s="7"/>
      <c r="I907" s="7"/>
      <c r="J907" s="7"/>
      <c r="K907" s="7"/>
      <c r="L907" s="7"/>
      <c r="M907" s="7"/>
      <c r="N907" s="7"/>
      <c r="O907" s="7"/>
      <c r="P907" s="7"/>
      <c r="Q907" s="7"/>
      <c r="R907" s="7"/>
      <c r="S907" s="7"/>
      <c r="T907" s="7"/>
      <c r="U907" s="7"/>
      <c r="V907" s="7"/>
      <c r="W907" s="7"/>
      <c r="X907" s="7"/>
      <c r="Y907" s="7"/>
    </row>
    <row r="908" spans="3:25" x14ac:dyDescent="0.2">
      <c r="C908" s="7"/>
      <c r="D908" s="7"/>
      <c r="E908" s="7"/>
      <c r="F908" s="7"/>
      <c r="G908" s="7"/>
      <c r="H908" s="7"/>
      <c r="I908" s="7"/>
      <c r="J908" s="7"/>
      <c r="K908" s="7"/>
      <c r="L908" s="7"/>
      <c r="M908" s="7"/>
      <c r="N908" s="7"/>
      <c r="O908" s="7"/>
      <c r="P908" s="7"/>
      <c r="Q908" s="7"/>
      <c r="R908" s="7"/>
      <c r="S908" s="7"/>
      <c r="T908" s="7"/>
      <c r="U908" s="7"/>
      <c r="V908" s="7"/>
      <c r="W908" s="7"/>
      <c r="X908" s="7"/>
      <c r="Y908" s="7"/>
    </row>
    <row r="909" spans="3:25" x14ac:dyDescent="0.2">
      <c r="C909" s="7"/>
      <c r="D909" s="7"/>
      <c r="E909" s="7"/>
      <c r="F909" s="7"/>
      <c r="G909" s="7"/>
      <c r="H909" s="7"/>
      <c r="I909" s="7"/>
      <c r="J909" s="7"/>
      <c r="K909" s="7"/>
      <c r="L909" s="7"/>
      <c r="M909" s="7"/>
      <c r="N909" s="7"/>
      <c r="O909" s="7"/>
      <c r="P909" s="7"/>
      <c r="Q909" s="7"/>
      <c r="R909" s="7"/>
      <c r="S909" s="7"/>
      <c r="T909" s="7"/>
      <c r="U909" s="7"/>
      <c r="V909" s="7"/>
      <c r="W909" s="7"/>
      <c r="X909" s="7"/>
      <c r="Y909" s="7"/>
    </row>
    <row r="910" spans="3:25" x14ac:dyDescent="0.2">
      <c r="C910" s="7"/>
      <c r="D910" s="7"/>
      <c r="E910" s="7"/>
      <c r="F910" s="7"/>
      <c r="G910" s="7"/>
      <c r="H910" s="7"/>
      <c r="I910" s="7"/>
      <c r="J910" s="7"/>
      <c r="K910" s="7"/>
      <c r="L910" s="7"/>
      <c r="M910" s="7"/>
      <c r="N910" s="7"/>
      <c r="O910" s="7"/>
      <c r="P910" s="7"/>
      <c r="Q910" s="7"/>
      <c r="R910" s="7"/>
      <c r="S910" s="7"/>
      <c r="T910" s="7"/>
      <c r="U910" s="7"/>
      <c r="V910" s="7"/>
      <c r="W910" s="7"/>
      <c r="X910" s="7"/>
      <c r="Y910" s="7"/>
    </row>
    <row r="911" spans="3:25" x14ac:dyDescent="0.2">
      <c r="C911" s="7"/>
      <c r="D911" s="7"/>
      <c r="E911" s="7"/>
      <c r="F911" s="7"/>
      <c r="G911" s="7"/>
      <c r="H911" s="7"/>
      <c r="I911" s="7"/>
      <c r="J911" s="7"/>
      <c r="K911" s="7"/>
      <c r="L911" s="7"/>
      <c r="M911" s="7"/>
      <c r="N911" s="7"/>
      <c r="O911" s="7"/>
      <c r="P911" s="7"/>
      <c r="Q911" s="7"/>
      <c r="R911" s="7"/>
      <c r="S911" s="7"/>
      <c r="T911" s="7"/>
      <c r="U911" s="7"/>
      <c r="V911" s="7"/>
      <c r="W911" s="7"/>
      <c r="X911" s="7"/>
      <c r="Y911" s="7"/>
    </row>
    <row r="912" spans="3:25" x14ac:dyDescent="0.2">
      <c r="C912" s="7"/>
      <c r="D912" s="7"/>
      <c r="E912" s="7"/>
      <c r="F912" s="7"/>
      <c r="G912" s="7"/>
      <c r="H912" s="7"/>
      <c r="I912" s="7"/>
      <c r="J912" s="7"/>
      <c r="K912" s="7"/>
      <c r="L912" s="7"/>
      <c r="M912" s="7"/>
      <c r="N912" s="7"/>
      <c r="O912" s="7"/>
      <c r="P912" s="7"/>
      <c r="Q912" s="7"/>
      <c r="R912" s="7"/>
      <c r="S912" s="7"/>
      <c r="T912" s="7"/>
      <c r="U912" s="7"/>
      <c r="V912" s="7"/>
      <c r="W912" s="7"/>
      <c r="X912" s="7"/>
      <c r="Y912" s="7"/>
    </row>
    <row r="913" spans="3:25" x14ac:dyDescent="0.2">
      <c r="C913" s="7"/>
      <c r="D913" s="7"/>
      <c r="E913" s="7"/>
      <c r="F913" s="7"/>
      <c r="G913" s="7"/>
      <c r="H913" s="7"/>
      <c r="I913" s="7"/>
      <c r="J913" s="7"/>
      <c r="K913" s="7"/>
      <c r="L913" s="7"/>
      <c r="M913" s="7"/>
      <c r="N913" s="7"/>
      <c r="O913" s="7"/>
      <c r="P913" s="7"/>
      <c r="Q913" s="7"/>
      <c r="R913" s="7"/>
      <c r="S913" s="7"/>
      <c r="T913" s="7"/>
      <c r="U913" s="7"/>
      <c r="V913" s="7"/>
      <c r="W913" s="7"/>
      <c r="X913" s="7"/>
      <c r="Y913" s="7"/>
    </row>
    <row r="914" spans="3:25" x14ac:dyDescent="0.2">
      <c r="C914" s="7"/>
      <c r="D914" s="7"/>
      <c r="E914" s="7"/>
      <c r="F914" s="7"/>
      <c r="G914" s="7"/>
      <c r="H914" s="7"/>
      <c r="I914" s="7"/>
      <c r="J914" s="7"/>
      <c r="K914" s="7"/>
      <c r="L914" s="7"/>
      <c r="M914" s="7"/>
      <c r="N914" s="7"/>
      <c r="O914" s="7"/>
      <c r="P914" s="7"/>
      <c r="Q914" s="7"/>
      <c r="R914" s="7"/>
      <c r="S914" s="7"/>
      <c r="T914" s="7"/>
      <c r="U914" s="7"/>
      <c r="V914" s="7"/>
      <c r="W914" s="7"/>
      <c r="X914" s="7"/>
      <c r="Y914" s="7"/>
    </row>
    <row r="915" spans="3:25" x14ac:dyDescent="0.2">
      <c r="C915" s="7"/>
      <c r="D915" s="7"/>
      <c r="E915" s="7"/>
      <c r="F915" s="7"/>
      <c r="G915" s="7"/>
      <c r="H915" s="7"/>
      <c r="I915" s="7"/>
      <c r="J915" s="7"/>
      <c r="K915" s="7"/>
      <c r="L915" s="7"/>
      <c r="M915" s="7"/>
      <c r="N915" s="7"/>
      <c r="O915" s="7"/>
      <c r="P915" s="7"/>
      <c r="Q915" s="7"/>
      <c r="R915" s="7"/>
      <c r="S915" s="7"/>
      <c r="T915" s="7"/>
      <c r="U915" s="7"/>
      <c r="V915" s="7"/>
      <c r="W915" s="7"/>
      <c r="X915" s="7"/>
      <c r="Y915" s="7"/>
    </row>
    <row r="916" spans="3:25" x14ac:dyDescent="0.2">
      <c r="C916" s="7"/>
      <c r="D916" s="7"/>
      <c r="E916" s="7"/>
      <c r="F916" s="7"/>
      <c r="G916" s="7"/>
      <c r="H916" s="7"/>
      <c r="I916" s="7"/>
      <c r="J916" s="7"/>
      <c r="K916" s="7"/>
      <c r="L916" s="7"/>
      <c r="M916" s="7"/>
      <c r="N916" s="7"/>
      <c r="O916" s="7"/>
      <c r="P916" s="7"/>
      <c r="Q916" s="7"/>
      <c r="R916" s="7"/>
      <c r="S916" s="7"/>
      <c r="T916" s="7"/>
      <c r="U916" s="7"/>
      <c r="V916" s="7"/>
      <c r="W916" s="7"/>
      <c r="X916" s="7"/>
      <c r="Y916" s="7"/>
    </row>
    <row r="917" spans="3:25" x14ac:dyDescent="0.2">
      <c r="C917" s="7"/>
      <c r="D917" s="7"/>
      <c r="E917" s="7"/>
      <c r="F917" s="7"/>
      <c r="G917" s="7"/>
      <c r="H917" s="7"/>
      <c r="I917" s="7"/>
      <c r="J917" s="7"/>
      <c r="K917" s="7"/>
      <c r="L917" s="7"/>
      <c r="M917" s="7"/>
      <c r="N917" s="7"/>
      <c r="O917" s="7"/>
      <c r="P917" s="7"/>
      <c r="Q917" s="7"/>
      <c r="R917" s="7"/>
      <c r="S917" s="7"/>
      <c r="T917" s="7"/>
      <c r="U917" s="7"/>
      <c r="V917" s="7"/>
      <c r="W917" s="7"/>
      <c r="X917" s="7"/>
      <c r="Y917" s="7"/>
    </row>
    <row r="918" spans="3:25" x14ac:dyDescent="0.2">
      <c r="C918" s="7"/>
      <c r="D918" s="7"/>
      <c r="E918" s="7"/>
      <c r="F918" s="7"/>
      <c r="G918" s="7"/>
      <c r="H918" s="7"/>
      <c r="I918" s="7"/>
      <c r="J918" s="7"/>
      <c r="K918" s="7"/>
      <c r="L918" s="7"/>
      <c r="M918" s="7"/>
      <c r="N918" s="7"/>
      <c r="O918" s="7"/>
      <c r="P918" s="7"/>
      <c r="Q918" s="7"/>
      <c r="R918" s="7"/>
      <c r="S918" s="7"/>
      <c r="T918" s="7"/>
      <c r="U918" s="7"/>
      <c r="V918" s="7"/>
      <c r="W918" s="7"/>
      <c r="X918" s="7"/>
      <c r="Y918" s="7"/>
    </row>
    <row r="919" spans="3:25" x14ac:dyDescent="0.2">
      <c r="C919" s="7"/>
      <c r="D919" s="7"/>
      <c r="E919" s="7"/>
      <c r="F919" s="7"/>
      <c r="G919" s="7"/>
      <c r="H919" s="7"/>
      <c r="I919" s="7"/>
      <c r="J919" s="7"/>
      <c r="K919" s="7"/>
      <c r="L919" s="7"/>
      <c r="M919" s="7"/>
      <c r="N919" s="7"/>
      <c r="O919" s="7"/>
      <c r="P919" s="7"/>
      <c r="Q919" s="7"/>
      <c r="R919" s="7"/>
      <c r="S919" s="7"/>
      <c r="T919" s="7"/>
      <c r="U919" s="7"/>
      <c r="V919" s="7"/>
      <c r="W919" s="7"/>
      <c r="X919" s="7"/>
      <c r="Y919" s="7"/>
    </row>
    <row r="920" spans="3:25" x14ac:dyDescent="0.2">
      <c r="C920" s="7"/>
      <c r="D920" s="7"/>
      <c r="E920" s="7"/>
      <c r="F920" s="7"/>
      <c r="G920" s="7"/>
      <c r="H920" s="7"/>
      <c r="I920" s="7"/>
      <c r="J920" s="7"/>
      <c r="K920" s="7"/>
      <c r="L920" s="7"/>
      <c r="M920" s="7"/>
      <c r="N920" s="7"/>
      <c r="O920" s="7"/>
      <c r="P920" s="7"/>
      <c r="Q920" s="7"/>
      <c r="R920" s="7"/>
      <c r="S920" s="7"/>
      <c r="T920" s="7"/>
      <c r="U920" s="7"/>
      <c r="V920" s="7"/>
      <c r="W920" s="7"/>
      <c r="X920" s="7"/>
      <c r="Y920" s="7"/>
    </row>
    <row r="921" spans="3:25" x14ac:dyDescent="0.2">
      <c r="C921" s="7"/>
      <c r="D921" s="7"/>
      <c r="E921" s="7"/>
      <c r="F921" s="7"/>
      <c r="G921" s="7"/>
      <c r="H921" s="7"/>
      <c r="I921" s="7"/>
      <c r="J921" s="7"/>
      <c r="K921" s="7"/>
      <c r="L921" s="7"/>
      <c r="M921" s="7"/>
      <c r="N921" s="7"/>
      <c r="O921" s="7"/>
      <c r="P921" s="7"/>
      <c r="Q921" s="7"/>
      <c r="R921" s="7"/>
      <c r="S921" s="7"/>
      <c r="T921" s="7"/>
      <c r="U921" s="7"/>
      <c r="V921" s="7"/>
      <c r="W921" s="7"/>
      <c r="X921" s="7"/>
      <c r="Y921" s="7"/>
    </row>
    <row r="922" spans="3:25" x14ac:dyDescent="0.2">
      <c r="C922" s="7"/>
      <c r="D922" s="7"/>
      <c r="E922" s="7"/>
      <c r="F922" s="7"/>
      <c r="G922" s="7"/>
      <c r="H922" s="7"/>
      <c r="I922" s="7"/>
      <c r="J922" s="7"/>
      <c r="K922" s="7"/>
      <c r="L922" s="7"/>
      <c r="M922" s="7"/>
      <c r="N922" s="7"/>
      <c r="O922" s="7"/>
      <c r="P922" s="7"/>
      <c r="Q922" s="7"/>
      <c r="R922" s="7"/>
      <c r="S922" s="7"/>
      <c r="T922" s="7"/>
      <c r="U922" s="7"/>
      <c r="V922" s="7"/>
      <c r="W922" s="7"/>
      <c r="X922" s="7"/>
      <c r="Y922" s="7"/>
    </row>
    <row r="923" spans="3:25" x14ac:dyDescent="0.2">
      <c r="C923" s="7"/>
      <c r="D923" s="7"/>
      <c r="E923" s="7"/>
      <c r="F923" s="7"/>
      <c r="G923" s="7"/>
      <c r="H923" s="7"/>
      <c r="I923" s="7"/>
      <c r="J923" s="7"/>
      <c r="K923" s="7"/>
      <c r="L923" s="7"/>
      <c r="M923" s="7"/>
      <c r="N923" s="7"/>
      <c r="O923" s="7"/>
      <c r="P923" s="7"/>
      <c r="Q923" s="7"/>
      <c r="R923" s="7"/>
      <c r="S923" s="7"/>
      <c r="T923" s="7"/>
      <c r="U923" s="7"/>
      <c r="V923" s="7"/>
      <c r="W923" s="7"/>
      <c r="X923" s="7"/>
      <c r="Y923" s="7"/>
    </row>
    <row r="924" spans="3:25" x14ac:dyDescent="0.2">
      <c r="C924" s="7"/>
      <c r="D924" s="7"/>
      <c r="E924" s="7"/>
      <c r="F924" s="7"/>
      <c r="G924" s="7"/>
      <c r="H924" s="7"/>
      <c r="I924" s="7"/>
      <c r="J924" s="7"/>
      <c r="K924" s="7"/>
      <c r="L924" s="7"/>
      <c r="M924" s="7"/>
      <c r="N924" s="7"/>
      <c r="O924" s="7"/>
      <c r="P924" s="7"/>
      <c r="Q924" s="7"/>
      <c r="R924" s="7"/>
      <c r="S924" s="7"/>
      <c r="T924" s="7"/>
      <c r="U924" s="7"/>
      <c r="V924" s="7"/>
      <c r="W924" s="7"/>
      <c r="X924" s="7"/>
      <c r="Y924" s="7"/>
    </row>
    <row r="925" spans="3:25" x14ac:dyDescent="0.2">
      <c r="C925" s="7"/>
      <c r="D925" s="7"/>
      <c r="E925" s="7"/>
      <c r="F925" s="7"/>
      <c r="G925" s="7"/>
      <c r="H925" s="7"/>
      <c r="I925" s="7"/>
      <c r="J925" s="7"/>
      <c r="K925" s="7"/>
      <c r="L925" s="7"/>
      <c r="M925" s="7"/>
      <c r="N925" s="7"/>
      <c r="O925" s="7"/>
      <c r="P925" s="7"/>
      <c r="Q925" s="7"/>
      <c r="R925" s="7"/>
      <c r="S925" s="7"/>
      <c r="T925" s="7"/>
      <c r="U925" s="7"/>
      <c r="V925" s="7"/>
      <c r="W925" s="7"/>
      <c r="X925" s="7"/>
      <c r="Y925" s="7"/>
    </row>
    <row r="926" spans="3:25" x14ac:dyDescent="0.2">
      <c r="C926" s="7"/>
      <c r="D926" s="7"/>
      <c r="E926" s="7"/>
      <c r="F926" s="7"/>
      <c r="G926" s="7"/>
      <c r="H926" s="7"/>
      <c r="I926" s="7"/>
      <c r="J926" s="7"/>
      <c r="K926" s="7"/>
      <c r="L926" s="7"/>
      <c r="M926" s="7"/>
      <c r="N926" s="7"/>
      <c r="O926" s="7"/>
      <c r="P926" s="7"/>
      <c r="Q926" s="7"/>
      <c r="R926" s="7"/>
      <c r="S926" s="7"/>
      <c r="T926" s="7"/>
      <c r="U926" s="7"/>
      <c r="V926" s="7"/>
      <c r="W926" s="7"/>
      <c r="X926" s="7"/>
      <c r="Y926" s="7"/>
    </row>
    <row r="927" spans="3:25" x14ac:dyDescent="0.2">
      <c r="C927" s="7"/>
      <c r="D927" s="7"/>
      <c r="E927" s="7"/>
      <c r="F927" s="7"/>
      <c r="G927" s="7"/>
      <c r="H927" s="7"/>
      <c r="I927" s="7"/>
      <c r="J927" s="7"/>
      <c r="K927" s="7"/>
      <c r="L927" s="7"/>
      <c r="M927" s="7"/>
      <c r="N927" s="7"/>
      <c r="O927" s="7"/>
      <c r="P927" s="7"/>
      <c r="Q927" s="7"/>
      <c r="R927" s="7"/>
      <c r="S927" s="7"/>
      <c r="T927" s="7"/>
      <c r="U927" s="7"/>
      <c r="V927" s="7"/>
      <c r="W927" s="7"/>
      <c r="X927" s="7"/>
      <c r="Y927" s="7"/>
    </row>
    <row r="928" spans="3:25" x14ac:dyDescent="0.2">
      <c r="C928" s="7"/>
      <c r="D928" s="7"/>
      <c r="E928" s="7"/>
      <c r="F928" s="7"/>
      <c r="G928" s="7"/>
      <c r="H928" s="7"/>
      <c r="I928" s="7"/>
      <c r="J928" s="7"/>
      <c r="K928" s="7"/>
      <c r="L928" s="7"/>
      <c r="M928" s="7"/>
      <c r="N928" s="7"/>
      <c r="O928" s="7"/>
      <c r="P928" s="7"/>
      <c r="Q928" s="7"/>
      <c r="R928" s="7"/>
      <c r="S928" s="7"/>
      <c r="T928" s="7"/>
      <c r="U928" s="7"/>
      <c r="V928" s="7"/>
      <c r="W928" s="7"/>
      <c r="X928" s="7"/>
      <c r="Y928" s="7"/>
    </row>
    <row r="929" spans="3:25" x14ac:dyDescent="0.2">
      <c r="C929" s="7"/>
      <c r="D929" s="7"/>
      <c r="E929" s="7"/>
      <c r="F929" s="7"/>
      <c r="G929" s="7"/>
      <c r="H929" s="7"/>
      <c r="I929" s="7"/>
      <c r="J929" s="7"/>
      <c r="K929" s="7"/>
      <c r="L929" s="7"/>
      <c r="M929" s="7"/>
      <c r="N929" s="7"/>
      <c r="O929" s="7"/>
      <c r="P929" s="7"/>
      <c r="Q929" s="7"/>
      <c r="R929" s="7"/>
      <c r="S929" s="7"/>
      <c r="T929" s="7"/>
      <c r="U929" s="7"/>
      <c r="V929" s="7"/>
      <c r="W929" s="7"/>
      <c r="X929" s="7"/>
      <c r="Y929" s="7"/>
    </row>
    <row r="930" spans="3:25" x14ac:dyDescent="0.2">
      <c r="C930" s="7"/>
      <c r="D930" s="7"/>
      <c r="E930" s="7"/>
      <c r="F930" s="7"/>
      <c r="G930" s="7"/>
      <c r="H930" s="7"/>
      <c r="I930" s="7"/>
      <c r="J930" s="7"/>
      <c r="K930" s="7"/>
      <c r="L930" s="7"/>
      <c r="M930" s="7"/>
      <c r="N930" s="7"/>
      <c r="O930" s="7"/>
      <c r="P930" s="7"/>
      <c r="Q930" s="7"/>
      <c r="R930" s="7"/>
      <c r="S930" s="7"/>
      <c r="T930" s="7"/>
      <c r="U930" s="7"/>
      <c r="V930" s="7"/>
      <c r="W930" s="7"/>
      <c r="X930" s="7"/>
      <c r="Y930" s="7"/>
    </row>
    <row r="931" spans="3:25" x14ac:dyDescent="0.2">
      <c r="C931" s="7"/>
      <c r="D931" s="7"/>
      <c r="E931" s="7"/>
      <c r="F931" s="7"/>
      <c r="G931" s="7"/>
      <c r="H931" s="7"/>
      <c r="I931" s="7"/>
      <c r="J931" s="7"/>
      <c r="K931" s="7"/>
      <c r="L931" s="7"/>
      <c r="M931" s="7"/>
      <c r="N931" s="7"/>
      <c r="O931" s="7"/>
      <c r="P931" s="7"/>
      <c r="Q931" s="7"/>
      <c r="R931" s="7"/>
      <c r="S931" s="7"/>
      <c r="T931" s="7"/>
      <c r="U931" s="7"/>
      <c r="V931" s="7"/>
      <c r="W931" s="7"/>
      <c r="X931" s="7"/>
      <c r="Y931" s="7"/>
    </row>
    <row r="932" spans="3:25" x14ac:dyDescent="0.2">
      <c r="C932" s="7"/>
      <c r="D932" s="7"/>
      <c r="E932" s="7"/>
      <c r="F932" s="7"/>
      <c r="G932" s="7"/>
      <c r="H932" s="7"/>
      <c r="I932" s="7"/>
      <c r="J932" s="7"/>
      <c r="K932" s="7"/>
      <c r="L932" s="7"/>
      <c r="M932" s="7"/>
      <c r="N932" s="7"/>
      <c r="O932" s="7"/>
      <c r="P932" s="7"/>
      <c r="Q932" s="7"/>
      <c r="R932" s="7"/>
      <c r="S932" s="7"/>
      <c r="T932" s="7"/>
      <c r="U932" s="7"/>
      <c r="V932" s="7"/>
      <c r="W932" s="7"/>
      <c r="X932" s="7"/>
      <c r="Y932" s="7"/>
    </row>
    <row r="933" spans="3:25" x14ac:dyDescent="0.2">
      <c r="C933" s="7"/>
      <c r="D933" s="7"/>
      <c r="E933" s="7"/>
      <c r="F933" s="7"/>
      <c r="G933" s="7"/>
      <c r="H933" s="7"/>
      <c r="I933" s="7"/>
      <c r="J933" s="7"/>
      <c r="K933" s="7"/>
      <c r="L933" s="7"/>
      <c r="M933" s="7"/>
      <c r="N933" s="7"/>
      <c r="O933" s="7"/>
      <c r="P933" s="7"/>
      <c r="Q933" s="7"/>
      <c r="R933" s="7"/>
      <c r="S933" s="7"/>
      <c r="T933" s="7"/>
      <c r="U933" s="7"/>
      <c r="V933" s="7"/>
      <c r="W933" s="7"/>
      <c r="X933" s="7"/>
      <c r="Y933" s="7"/>
    </row>
    <row r="934" spans="3:25" x14ac:dyDescent="0.2">
      <c r="C934" s="7"/>
      <c r="D934" s="7"/>
      <c r="E934" s="7"/>
      <c r="F934" s="7"/>
      <c r="G934" s="7"/>
      <c r="H934" s="7"/>
      <c r="I934" s="7"/>
      <c r="J934" s="7"/>
      <c r="K934" s="7"/>
      <c r="L934" s="7"/>
      <c r="M934" s="7"/>
      <c r="N934" s="7"/>
      <c r="O934" s="7"/>
      <c r="P934" s="7"/>
      <c r="Q934" s="7"/>
      <c r="R934" s="7"/>
      <c r="S934" s="7"/>
      <c r="T934" s="7"/>
      <c r="U934" s="7"/>
      <c r="V934" s="7"/>
      <c r="W934" s="7"/>
      <c r="X934" s="7"/>
      <c r="Y934" s="7"/>
    </row>
    <row r="935" spans="3:25" x14ac:dyDescent="0.2">
      <c r="C935" s="7"/>
      <c r="D935" s="7"/>
      <c r="E935" s="7"/>
      <c r="F935" s="7"/>
      <c r="G935" s="7"/>
      <c r="H935" s="7"/>
      <c r="I935" s="7"/>
      <c r="J935" s="7"/>
      <c r="K935" s="7"/>
      <c r="L935" s="7"/>
      <c r="M935" s="7"/>
      <c r="N935" s="7"/>
      <c r="O935" s="7"/>
      <c r="P935" s="7"/>
      <c r="Q935" s="7"/>
      <c r="R935" s="7"/>
      <c r="S935" s="7"/>
      <c r="T935" s="7"/>
      <c r="U935" s="7"/>
      <c r="V935" s="7"/>
      <c r="W935" s="7"/>
      <c r="X935" s="7"/>
      <c r="Y935" s="7"/>
    </row>
    <row r="936" spans="3:25" x14ac:dyDescent="0.2">
      <c r="C936" s="7"/>
      <c r="D936" s="7"/>
      <c r="E936" s="7"/>
      <c r="F936" s="7"/>
      <c r="G936" s="7"/>
      <c r="H936" s="7"/>
      <c r="I936" s="7"/>
      <c r="J936" s="7"/>
      <c r="K936" s="7"/>
      <c r="L936" s="7"/>
      <c r="M936" s="7"/>
      <c r="N936" s="7"/>
      <c r="O936" s="7"/>
      <c r="P936" s="7"/>
      <c r="Q936" s="7"/>
      <c r="R936" s="7"/>
      <c r="S936" s="7"/>
      <c r="T936" s="7"/>
      <c r="U936" s="7"/>
      <c r="V936" s="7"/>
      <c r="W936" s="7"/>
      <c r="X936" s="7"/>
      <c r="Y936" s="7"/>
    </row>
    <row r="937" spans="3:25" x14ac:dyDescent="0.2">
      <c r="C937" s="7"/>
      <c r="D937" s="7"/>
      <c r="E937" s="7"/>
      <c r="F937" s="7"/>
      <c r="G937" s="7"/>
      <c r="H937" s="7"/>
      <c r="I937" s="7"/>
      <c r="J937" s="7"/>
      <c r="K937" s="7"/>
      <c r="L937" s="7"/>
      <c r="M937" s="7"/>
      <c r="N937" s="7"/>
      <c r="O937" s="7"/>
      <c r="P937" s="7"/>
      <c r="Q937" s="7"/>
      <c r="R937" s="7"/>
      <c r="S937" s="7"/>
      <c r="T937" s="7"/>
      <c r="U937" s="7"/>
      <c r="V937" s="7"/>
      <c r="W937" s="7"/>
      <c r="X937" s="7"/>
      <c r="Y937" s="7"/>
    </row>
    <row r="938" spans="3:25" x14ac:dyDescent="0.2">
      <c r="C938" s="7"/>
      <c r="D938" s="7"/>
      <c r="E938" s="7"/>
      <c r="F938" s="7"/>
      <c r="G938" s="7"/>
      <c r="H938" s="7"/>
      <c r="I938" s="7"/>
      <c r="J938" s="7"/>
      <c r="K938" s="7"/>
      <c r="L938" s="7"/>
      <c r="M938" s="7"/>
      <c r="N938" s="7"/>
      <c r="O938" s="7"/>
      <c r="P938" s="7"/>
      <c r="Q938" s="7"/>
      <c r="R938" s="7"/>
      <c r="S938" s="7"/>
      <c r="T938" s="7"/>
      <c r="U938" s="7"/>
      <c r="V938" s="7"/>
      <c r="W938" s="7"/>
      <c r="X938" s="7"/>
      <c r="Y938" s="7"/>
    </row>
    <row r="939" spans="3:25" x14ac:dyDescent="0.2">
      <c r="C939" s="7"/>
      <c r="D939" s="7"/>
      <c r="E939" s="7"/>
      <c r="F939" s="7"/>
      <c r="G939" s="7"/>
      <c r="H939" s="7"/>
      <c r="I939" s="7"/>
      <c r="J939" s="7"/>
      <c r="K939" s="7"/>
      <c r="L939" s="7"/>
      <c r="M939" s="7"/>
      <c r="N939" s="7"/>
      <c r="O939" s="7"/>
      <c r="P939" s="7"/>
      <c r="Q939" s="7"/>
      <c r="R939" s="7"/>
      <c r="S939" s="7"/>
      <c r="T939" s="7"/>
      <c r="U939" s="7"/>
      <c r="V939" s="7"/>
      <c r="W939" s="7"/>
      <c r="X939" s="7"/>
      <c r="Y939" s="7"/>
    </row>
    <row r="940" spans="3:25" x14ac:dyDescent="0.2">
      <c r="C940" s="7"/>
      <c r="D940" s="7"/>
      <c r="E940" s="7"/>
      <c r="F940" s="7"/>
      <c r="G940" s="7"/>
      <c r="H940" s="7"/>
      <c r="I940" s="7"/>
      <c r="J940" s="7"/>
      <c r="K940" s="7"/>
      <c r="L940" s="7"/>
      <c r="M940" s="7"/>
      <c r="N940" s="7"/>
      <c r="O940" s="7"/>
      <c r="P940" s="7"/>
      <c r="Q940" s="7"/>
      <c r="R940" s="7"/>
      <c r="S940" s="7"/>
      <c r="T940" s="7"/>
      <c r="U940" s="7"/>
      <c r="V940" s="7"/>
      <c r="W940" s="7"/>
      <c r="X940" s="7"/>
      <c r="Y940" s="7"/>
    </row>
    <row r="941" spans="3:25" x14ac:dyDescent="0.2">
      <c r="C941" s="7"/>
      <c r="D941" s="7"/>
      <c r="E941" s="7"/>
      <c r="F941" s="7"/>
      <c r="G941" s="7"/>
      <c r="H941" s="7"/>
      <c r="I941" s="7"/>
      <c r="J941" s="7"/>
      <c r="K941" s="7"/>
      <c r="L941" s="7"/>
      <c r="M941" s="7"/>
      <c r="N941" s="7"/>
      <c r="O941" s="7"/>
      <c r="P941" s="7"/>
      <c r="Q941" s="7"/>
      <c r="R941" s="7"/>
      <c r="S941" s="7"/>
      <c r="T941" s="7"/>
      <c r="U941" s="7"/>
      <c r="V941" s="7"/>
      <c r="W941" s="7"/>
      <c r="X941" s="7"/>
      <c r="Y941" s="7"/>
    </row>
    <row r="942" spans="3:25" x14ac:dyDescent="0.2">
      <c r="C942" s="7"/>
      <c r="D942" s="7"/>
      <c r="E942" s="7"/>
      <c r="F942" s="7"/>
      <c r="G942" s="7"/>
      <c r="H942" s="7"/>
      <c r="I942" s="7"/>
      <c r="J942" s="7"/>
      <c r="K942" s="7"/>
      <c r="L942" s="7"/>
      <c r="M942" s="7"/>
      <c r="N942" s="7"/>
      <c r="O942" s="7"/>
      <c r="P942" s="7"/>
      <c r="Q942" s="7"/>
      <c r="R942" s="7"/>
      <c r="S942" s="7"/>
      <c r="T942" s="7"/>
      <c r="U942" s="7"/>
      <c r="V942" s="7"/>
      <c r="W942" s="7"/>
      <c r="X942" s="7"/>
      <c r="Y942" s="7"/>
    </row>
    <row r="943" spans="3:25" x14ac:dyDescent="0.2">
      <c r="C943" s="7"/>
      <c r="D943" s="7"/>
      <c r="E943" s="7"/>
      <c r="F943" s="7"/>
      <c r="G943" s="7"/>
      <c r="H943" s="7"/>
      <c r="I943" s="7"/>
      <c r="J943" s="7"/>
      <c r="K943" s="7"/>
      <c r="L943" s="7"/>
      <c r="M943" s="7"/>
      <c r="N943" s="7"/>
      <c r="O943" s="7"/>
      <c r="P943" s="7"/>
      <c r="Q943" s="7"/>
      <c r="R943" s="7"/>
      <c r="S943" s="7"/>
      <c r="T943" s="7"/>
      <c r="U943" s="7"/>
      <c r="V943" s="7"/>
      <c r="W943" s="7"/>
      <c r="X943" s="7"/>
      <c r="Y943" s="7"/>
    </row>
    <row r="944" spans="3:25" x14ac:dyDescent="0.2">
      <c r="C944" s="7"/>
      <c r="D944" s="7"/>
      <c r="E944" s="7"/>
      <c r="F944" s="7"/>
      <c r="G944" s="7"/>
      <c r="H944" s="7"/>
      <c r="I944" s="7"/>
      <c r="J944" s="7"/>
      <c r="K944" s="7"/>
      <c r="L944" s="7"/>
      <c r="M944" s="7"/>
      <c r="N944" s="7"/>
      <c r="O944" s="7"/>
      <c r="P944" s="7"/>
      <c r="Q944" s="7"/>
      <c r="R944" s="7"/>
      <c r="S944" s="7"/>
      <c r="T944" s="7"/>
      <c r="U944" s="7"/>
      <c r="V944" s="7"/>
      <c r="W944" s="7"/>
      <c r="X944" s="7"/>
      <c r="Y944" s="7"/>
    </row>
    <row r="945" spans="3:25" x14ac:dyDescent="0.2">
      <c r="C945" s="7"/>
      <c r="D945" s="7"/>
      <c r="E945" s="7"/>
      <c r="F945" s="7"/>
      <c r="G945" s="7"/>
      <c r="H945" s="7"/>
      <c r="I945" s="7"/>
      <c r="J945" s="7"/>
      <c r="K945" s="7"/>
      <c r="L945" s="7"/>
      <c r="M945" s="7"/>
      <c r="N945" s="7"/>
      <c r="O945" s="7"/>
      <c r="P945" s="7"/>
      <c r="Q945" s="7"/>
      <c r="R945" s="7"/>
      <c r="S945" s="7"/>
      <c r="T945" s="7"/>
      <c r="U945" s="7"/>
      <c r="V945" s="7"/>
      <c r="W945" s="7"/>
      <c r="X945" s="7"/>
      <c r="Y945" s="7"/>
    </row>
    <row r="946" spans="3:25" x14ac:dyDescent="0.2">
      <c r="C946" s="7"/>
      <c r="D946" s="7"/>
      <c r="E946" s="7"/>
      <c r="F946" s="7"/>
      <c r="G946" s="7"/>
      <c r="H946" s="7"/>
      <c r="I946" s="7"/>
      <c r="J946" s="7"/>
      <c r="K946" s="7"/>
      <c r="L946" s="7"/>
      <c r="M946" s="7"/>
      <c r="N946" s="7"/>
      <c r="O946" s="7"/>
      <c r="P946" s="7"/>
      <c r="Q946" s="7"/>
      <c r="R946" s="7"/>
      <c r="S946" s="7"/>
      <c r="T946" s="7"/>
      <c r="U946" s="7"/>
      <c r="V946" s="7"/>
      <c r="W946" s="7"/>
      <c r="X946" s="7"/>
      <c r="Y946" s="7"/>
    </row>
    <row r="947" spans="3:25" x14ac:dyDescent="0.2">
      <c r="C947" s="7"/>
      <c r="D947" s="7"/>
      <c r="E947" s="7"/>
      <c r="F947" s="7"/>
      <c r="G947" s="7"/>
      <c r="H947" s="7"/>
      <c r="I947" s="7"/>
      <c r="J947" s="7"/>
      <c r="K947" s="7"/>
      <c r="L947" s="7"/>
      <c r="M947" s="7"/>
      <c r="N947" s="7"/>
      <c r="O947" s="7"/>
      <c r="P947" s="7"/>
      <c r="Q947" s="7"/>
      <c r="R947" s="7"/>
      <c r="S947" s="7"/>
      <c r="T947" s="7"/>
      <c r="U947" s="7"/>
      <c r="V947" s="7"/>
      <c r="W947" s="7"/>
      <c r="X947" s="7"/>
      <c r="Y947" s="7"/>
    </row>
    <row r="948" spans="3:25" x14ac:dyDescent="0.2">
      <c r="C948" s="7"/>
      <c r="D948" s="7"/>
      <c r="E948" s="7"/>
      <c r="F948" s="7"/>
      <c r="G948" s="7"/>
      <c r="H948" s="7"/>
      <c r="I948" s="7"/>
      <c r="J948" s="7"/>
      <c r="K948" s="7"/>
      <c r="L948" s="7"/>
      <c r="M948" s="7"/>
      <c r="N948" s="7"/>
      <c r="O948" s="7"/>
      <c r="P948" s="7"/>
      <c r="Q948" s="7"/>
      <c r="R948" s="7"/>
      <c r="S948" s="7"/>
      <c r="T948" s="7"/>
      <c r="U948" s="7"/>
      <c r="V948" s="7"/>
      <c r="W948" s="7"/>
      <c r="X948" s="7"/>
      <c r="Y948" s="7"/>
    </row>
    <row r="949" spans="3:25" x14ac:dyDescent="0.2">
      <c r="C949" s="7"/>
      <c r="D949" s="7"/>
      <c r="E949" s="7"/>
      <c r="F949" s="7"/>
      <c r="G949" s="7"/>
      <c r="H949" s="7"/>
      <c r="I949" s="7"/>
      <c r="J949" s="7"/>
      <c r="K949" s="7"/>
      <c r="L949" s="7"/>
      <c r="M949" s="7"/>
      <c r="N949" s="7"/>
      <c r="O949" s="7"/>
      <c r="P949" s="7"/>
      <c r="Q949" s="7"/>
      <c r="R949" s="7"/>
      <c r="S949" s="7"/>
      <c r="T949" s="7"/>
      <c r="U949" s="7"/>
      <c r="V949" s="7"/>
      <c r="W949" s="7"/>
      <c r="X949" s="7"/>
      <c r="Y949" s="7"/>
    </row>
    <row r="950" spans="3:25" x14ac:dyDescent="0.2">
      <c r="C950" s="7"/>
      <c r="D950" s="7"/>
      <c r="E950" s="7"/>
      <c r="F950" s="7"/>
      <c r="G950" s="7"/>
      <c r="H950" s="7"/>
      <c r="I950" s="7"/>
      <c r="J950" s="7"/>
      <c r="K950" s="7"/>
      <c r="L950" s="7"/>
      <c r="M950" s="7"/>
      <c r="N950" s="7"/>
      <c r="O950" s="7"/>
      <c r="P950" s="7"/>
      <c r="Q950" s="7"/>
      <c r="R950" s="7"/>
      <c r="S950" s="7"/>
      <c r="T950" s="7"/>
      <c r="U950" s="7"/>
      <c r="V950" s="7"/>
      <c r="W950" s="7"/>
      <c r="X950" s="7"/>
      <c r="Y950" s="7"/>
    </row>
    <row r="951" spans="3:25" x14ac:dyDescent="0.2">
      <c r="C951" s="7"/>
      <c r="D951" s="7"/>
      <c r="E951" s="7"/>
      <c r="F951" s="7"/>
      <c r="G951" s="7"/>
      <c r="H951" s="7"/>
      <c r="I951" s="7"/>
      <c r="J951" s="7"/>
      <c r="K951" s="7"/>
      <c r="L951" s="7"/>
      <c r="M951" s="7"/>
      <c r="N951" s="7"/>
      <c r="O951" s="7"/>
      <c r="P951" s="7"/>
      <c r="Q951" s="7"/>
      <c r="R951" s="7"/>
      <c r="S951" s="7"/>
      <c r="T951" s="7"/>
      <c r="U951" s="7"/>
      <c r="V951" s="7"/>
      <c r="W951" s="7"/>
      <c r="X951" s="7"/>
      <c r="Y951" s="7"/>
    </row>
    <row r="952" spans="3:25" x14ac:dyDescent="0.2">
      <c r="C952" s="7"/>
      <c r="D952" s="7"/>
      <c r="E952" s="7"/>
      <c r="F952" s="7"/>
      <c r="G952" s="7"/>
      <c r="H952" s="7"/>
      <c r="I952" s="7"/>
      <c r="J952" s="7"/>
      <c r="K952" s="7"/>
      <c r="L952" s="7"/>
      <c r="M952" s="7"/>
      <c r="N952" s="7"/>
      <c r="O952" s="7"/>
      <c r="P952" s="7"/>
      <c r="Q952" s="7"/>
      <c r="R952" s="7"/>
      <c r="S952" s="7"/>
      <c r="T952" s="7"/>
      <c r="U952" s="7"/>
      <c r="V952" s="7"/>
      <c r="W952" s="7"/>
      <c r="X952" s="7"/>
      <c r="Y952" s="7"/>
    </row>
    <row r="953" spans="3:25" x14ac:dyDescent="0.2">
      <c r="C953" s="7"/>
      <c r="D953" s="7"/>
      <c r="E953" s="7"/>
      <c r="F953" s="7"/>
      <c r="G953" s="7"/>
      <c r="H953" s="7"/>
      <c r="I953" s="7"/>
      <c r="J953" s="7"/>
      <c r="K953" s="7"/>
      <c r="L953" s="7"/>
      <c r="M953" s="7"/>
      <c r="N953" s="7"/>
      <c r="O953" s="7"/>
      <c r="P953" s="7"/>
      <c r="Q953" s="7"/>
      <c r="R953" s="7"/>
      <c r="S953" s="7"/>
      <c r="T953" s="7"/>
      <c r="U953" s="7"/>
      <c r="V953" s="7"/>
      <c r="W953" s="7"/>
      <c r="X953" s="7"/>
      <c r="Y953" s="7"/>
    </row>
    <row r="954" spans="3:25" x14ac:dyDescent="0.2">
      <c r="C954" s="7"/>
      <c r="D954" s="7"/>
      <c r="E954" s="7"/>
      <c r="F954" s="7"/>
      <c r="G954" s="7"/>
      <c r="H954" s="7"/>
      <c r="I954" s="7"/>
      <c r="J954" s="7"/>
      <c r="K954" s="7"/>
      <c r="L954" s="7"/>
      <c r="M954" s="7"/>
      <c r="N954" s="7"/>
      <c r="O954" s="7"/>
      <c r="P954" s="7"/>
      <c r="Q954" s="7"/>
      <c r="R954" s="7"/>
      <c r="S954" s="7"/>
      <c r="T954" s="7"/>
      <c r="U954" s="7"/>
      <c r="V954" s="7"/>
      <c r="W954" s="7"/>
      <c r="X954" s="7"/>
      <c r="Y954" s="7"/>
    </row>
    <row r="955" spans="3:25" x14ac:dyDescent="0.2">
      <c r="C955" s="7"/>
      <c r="D955" s="7"/>
      <c r="E955" s="7"/>
      <c r="F955" s="7"/>
      <c r="G955" s="7"/>
      <c r="H955" s="7"/>
      <c r="I955" s="7"/>
      <c r="J955" s="7"/>
      <c r="K955" s="7"/>
      <c r="L955" s="7"/>
      <c r="M955" s="7"/>
      <c r="N955" s="7"/>
      <c r="O955" s="7"/>
      <c r="P955" s="7"/>
      <c r="Q955" s="7"/>
      <c r="R955" s="7"/>
      <c r="S955" s="7"/>
      <c r="T955" s="7"/>
      <c r="U955" s="7"/>
      <c r="V955" s="7"/>
      <c r="W955" s="7"/>
      <c r="X955" s="7"/>
      <c r="Y955" s="7"/>
    </row>
    <row r="956" spans="3:25" x14ac:dyDescent="0.2">
      <c r="C956" s="7"/>
      <c r="D956" s="7"/>
      <c r="E956" s="7"/>
      <c r="F956" s="7"/>
      <c r="G956" s="7"/>
      <c r="H956" s="7"/>
      <c r="I956" s="7"/>
      <c r="J956" s="7"/>
      <c r="K956" s="7"/>
      <c r="L956" s="7"/>
      <c r="M956" s="7"/>
      <c r="N956" s="7"/>
      <c r="O956" s="7"/>
      <c r="P956" s="7"/>
      <c r="Q956" s="7"/>
      <c r="R956" s="7"/>
      <c r="S956" s="7"/>
      <c r="T956" s="7"/>
      <c r="U956" s="7"/>
      <c r="V956" s="7"/>
      <c r="W956" s="7"/>
      <c r="X956" s="7"/>
      <c r="Y956" s="7"/>
    </row>
    <row r="957" spans="3:25" x14ac:dyDescent="0.2">
      <c r="C957" s="7"/>
      <c r="D957" s="7"/>
      <c r="E957" s="7"/>
      <c r="F957" s="7"/>
      <c r="G957" s="7"/>
      <c r="H957" s="7"/>
      <c r="I957" s="7"/>
      <c r="J957" s="7"/>
      <c r="K957" s="7"/>
      <c r="L957" s="7"/>
      <c r="M957" s="7"/>
      <c r="N957" s="7"/>
      <c r="O957" s="7"/>
      <c r="P957" s="7"/>
      <c r="Q957" s="7"/>
      <c r="R957" s="7"/>
      <c r="S957" s="7"/>
      <c r="T957" s="7"/>
      <c r="U957" s="7"/>
      <c r="V957" s="7"/>
      <c r="W957" s="7"/>
      <c r="X957" s="7"/>
      <c r="Y957" s="7"/>
    </row>
    <row r="958" spans="3:25" x14ac:dyDescent="0.2">
      <c r="C958" s="7"/>
      <c r="D958" s="7"/>
      <c r="E958" s="7"/>
      <c r="F958" s="7"/>
      <c r="G958" s="7"/>
      <c r="H958" s="7"/>
      <c r="I958" s="7"/>
      <c r="J958" s="7"/>
      <c r="K958" s="7"/>
      <c r="L958" s="7"/>
      <c r="M958" s="7"/>
      <c r="N958" s="7"/>
      <c r="O958" s="7"/>
      <c r="P958" s="7"/>
      <c r="Q958" s="7"/>
      <c r="R958" s="7"/>
      <c r="S958" s="7"/>
      <c r="T958" s="7"/>
      <c r="U958" s="7"/>
      <c r="V958" s="7"/>
      <c r="W958" s="7"/>
      <c r="X958" s="7"/>
      <c r="Y958" s="7"/>
    </row>
    <row r="959" spans="3:25" x14ac:dyDescent="0.2">
      <c r="C959" s="7"/>
      <c r="D959" s="7"/>
      <c r="E959" s="7"/>
      <c r="F959" s="7"/>
      <c r="G959" s="7"/>
      <c r="H959" s="7"/>
      <c r="I959" s="7"/>
      <c r="J959" s="7"/>
      <c r="K959" s="7"/>
      <c r="L959" s="7"/>
      <c r="M959" s="7"/>
      <c r="N959" s="7"/>
      <c r="O959" s="7"/>
      <c r="P959" s="7"/>
      <c r="Q959" s="7"/>
      <c r="R959" s="7"/>
      <c r="S959" s="7"/>
      <c r="T959" s="7"/>
      <c r="U959" s="7"/>
      <c r="V959" s="7"/>
      <c r="W959" s="7"/>
      <c r="X959" s="7"/>
      <c r="Y959" s="7"/>
    </row>
    <row r="960" spans="3:25" x14ac:dyDescent="0.2">
      <c r="C960" s="7"/>
      <c r="D960" s="7"/>
      <c r="E960" s="7"/>
      <c r="F960" s="7"/>
      <c r="G960" s="7"/>
      <c r="H960" s="7"/>
      <c r="I960" s="7"/>
      <c r="J960" s="7"/>
      <c r="K960" s="7"/>
      <c r="L960" s="7"/>
      <c r="M960" s="7"/>
      <c r="N960" s="7"/>
      <c r="O960" s="7"/>
      <c r="P960" s="7"/>
      <c r="Q960" s="7"/>
      <c r="R960" s="7"/>
      <c r="S960" s="7"/>
      <c r="T960" s="7"/>
      <c r="U960" s="7"/>
      <c r="V960" s="7"/>
      <c r="W960" s="7"/>
      <c r="X960" s="7"/>
      <c r="Y960" s="7"/>
    </row>
    <row r="961" spans="3:25" x14ac:dyDescent="0.2">
      <c r="C961" s="7"/>
      <c r="D961" s="7"/>
      <c r="E961" s="7"/>
      <c r="F961" s="7"/>
      <c r="G961" s="7"/>
      <c r="H961" s="7"/>
      <c r="I961" s="7"/>
      <c r="J961" s="7"/>
      <c r="K961" s="7"/>
      <c r="L961" s="7"/>
      <c r="M961" s="7"/>
      <c r="N961" s="7"/>
      <c r="O961" s="7"/>
      <c r="P961" s="7"/>
      <c r="Q961" s="7"/>
      <c r="R961" s="7"/>
      <c r="S961" s="7"/>
      <c r="T961" s="7"/>
      <c r="U961" s="7"/>
      <c r="V961" s="7"/>
      <c r="W961" s="7"/>
      <c r="X961" s="7"/>
      <c r="Y961" s="7"/>
    </row>
    <row r="962" spans="3:25" x14ac:dyDescent="0.2">
      <c r="C962" s="7"/>
      <c r="D962" s="7"/>
      <c r="E962" s="7"/>
      <c r="F962" s="7"/>
      <c r="G962" s="7"/>
      <c r="H962" s="7"/>
      <c r="I962" s="7"/>
      <c r="J962" s="7"/>
      <c r="K962" s="7"/>
      <c r="L962" s="7"/>
      <c r="M962" s="7"/>
      <c r="N962" s="7"/>
      <c r="O962" s="7"/>
      <c r="P962" s="7"/>
      <c r="Q962" s="7"/>
      <c r="R962" s="7"/>
      <c r="S962" s="7"/>
      <c r="T962" s="7"/>
      <c r="U962" s="7"/>
      <c r="V962" s="7"/>
      <c r="W962" s="7"/>
      <c r="X962" s="7"/>
      <c r="Y962" s="7"/>
    </row>
    <row r="963" spans="3:25" x14ac:dyDescent="0.2">
      <c r="C963" s="7"/>
      <c r="D963" s="7"/>
      <c r="E963" s="7"/>
      <c r="F963" s="7"/>
      <c r="G963" s="7"/>
      <c r="H963" s="7"/>
      <c r="I963" s="7"/>
      <c r="J963" s="7"/>
      <c r="K963" s="7"/>
      <c r="L963" s="7"/>
      <c r="M963" s="7"/>
      <c r="N963" s="7"/>
      <c r="O963" s="7"/>
      <c r="P963" s="7"/>
      <c r="Q963" s="7"/>
      <c r="R963" s="7"/>
      <c r="S963" s="7"/>
      <c r="T963" s="7"/>
      <c r="U963" s="7"/>
      <c r="V963" s="7"/>
      <c r="W963" s="7"/>
      <c r="X963" s="7"/>
      <c r="Y963" s="7"/>
    </row>
    <row r="964" spans="3:25" x14ac:dyDescent="0.2">
      <c r="C964" s="7"/>
      <c r="D964" s="7"/>
      <c r="E964" s="7"/>
      <c r="F964" s="7"/>
      <c r="G964" s="7"/>
      <c r="H964" s="7"/>
      <c r="I964" s="7"/>
      <c r="J964" s="7"/>
      <c r="K964" s="7"/>
      <c r="L964" s="7"/>
      <c r="M964" s="7"/>
      <c r="N964" s="7"/>
      <c r="O964" s="7"/>
      <c r="P964" s="7"/>
      <c r="Q964" s="7"/>
      <c r="R964" s="7"/>
      <c r="S964" s="7"/>
      <c r="T964" s="7"/>
      <c r="U964" s="7"/>
      <c r="V964" s="7"/>
      <c r="W964" s="7"/>
      <c r="X964" s="7"/>
      <c r="Y964" s="7"/>
    </row>
    <row r="965" spans="3:25" x14ac:dyDescent="0.2">
      <c r="C965" s="7"/>
      <c r="D965" s="7"/>
      <c r="E965" s="7"/>
      <c r="F965" s="7"/>
      <c r="G965" s="7"/>
      <c r="H965" s="7"/>
      <c r="I965" s="7"/>
      <c r="J965" s="7"/>
      <c r="K965" s="7"/>
      <c r="L965" s="7"/>
      <c r="M965" s="7"/>
      <c r="N965" s="7"/>
      <c r="O965" s="7"/>
      <c r="P965" s="7"/>
      <c r="Q965" s="7"/>
      <c r="R965" s="7"/>
      <c r="S965" s="7"/>
      <c r="T965" s="7"/>
      <c r="U965" s="7"/>
      <c r="V965" s="7"/>
      <c r="W965" s="7"/>
      <c r="X965" s="7"/>
      <c r="Y965" s="7"/>
    </row>
    <row r="966" spans="3:25" x14ac:dyDescent="0.2">
      <c r="C966" s="7"/>
      <c r="D966" s="7"/>
      <c r="E966" s="7"/>
      <c r="F966" s="7"/>
      <c r="G966" s="7"/>
      <c r="H966" s="7"/>
      <c r="I966" s="7"/>
      <c r="J966" s="7"/>
      <c r="K966" s="7"/>
      <c r="L966" s="7"/>
      <c r="M966" s="7"/>
      <c r="N966" s="7"/>
      <c r="O966" s="7"/>
      <c r="P966" s="7"/>
      <c r="Q966" s="7"/>
      <c r="R966" s="7"/>
      <c r="S966" s="7"/>
      <c r="T966" s="7"/>
      <c r="U966" s="7"/>
      <c r="V966" s="7"/>
      <c r="W966" s="7"/>
      <c r="X966" s="7"/>
      <c r="Y966" s="7"/>
    </row>
    <row r="967" spans="3:25" x14ac:dyDescent="0.2">
      <c r="C967" s="7"/>
      <c r="D967" s="7"/>
      <c r="E967" s="7"/>
      <c r="F967" s="7"/>
      <c r="G967" s="7"/>
      <c r="H967" s="7"/>
      <c r="I967" s="7"/>
      <c r="J967" s="7"/>
      <c r="K967" s="7"/>
      <c r="L967" s="7"/>
      <c r="M967" s="7"/>
      <c r="N967" s="7"/>
      <c r="O967" s="7"/>
      <c r="P967" s="7"/>
      <c r="Q967" s="7"/>
      <c r="R967" s="7"/>
      <c r="S967" s="7"/>
      <c r="T967" s="7"/>
      <c r="U967" s="7"/>
      <c r="V967" s="7"/>
      <c r="W967" s="7"/>
      <c r="X967" s="7"/>
      <c r="Y967" s="7"/>
    </row>
    <row r="968" spans="3:25" x14ac:dyDescent="0.2">
      <c r="C968" s="7"/>
      <c r="D968" s="7"/>
      <c r="E968" s="7"/>
      <c r="F968" s="7"/>
      <c r="G968" s="7"/>
      <c r="H968" s="7"/>
      <c r="I968" s="7"/>
      <c r="J968" s="7"/>
      <c r="K968" s="7"/>
      <c r="L968" s="7"/>
      <c r="M968" s="7"/>
      <c r="N968" s="7"/>
      <c r="O968" s="7"/>
      <c r="P968" s="7"/>
      <c r="Q968" s="7"/>
      <c r="R968" s="7"/>
      <c r="S968" s="7"/>
      <c r="T968" s="7"/>
      <c r="U968" s="7"/>
      <c r="V968" s="7"/>
      <c r="W968" s="7"/>
      <c r="X968" s="7"/>
      <c r="Y968" s="7"/>
    </row>
    <row r="969" spans="3:25" x14ac:dyDescent="0.2">
      <c r="C969" s="7"/>
      <c r="D969" s="7"/>
      <c r="E969" s="7"/>
      <c r="F969" s="7"/>
      <c r="G969" s="7"/>
      <c r="H969" s="7"/>
      <c r="I969" s="7"/>
      <c r="J969" s="7"/>
      <c r="K969" s="7"/>
      <c r="L969" s="7"/>
      <c r="M969" s="7"/>
      <c r="N969" s="7"/>
      <c r="O969" s="7"/>
      <c r="P969" s="7"/>
      <c r="Q969" s="7"/>
      <c r="R969" s="7"/>
      <c r="S969" s="7"/>
      <c r="T969" s="7"/>
      <c r="U969" s="7"/>
      <c r="V969" s="7"/>
      <c r="W969" s="7"/>
      <c r="X969" s="7"/>
      <c r="Y969" s="7"/>
    </row>
    <row r="970" spans="3:25" x14ac:dyDescent="0.2">
      <c r="C970" s="7"/>
      <c r="D970" s="7"/>
      <c r="E970" s="7"/>
      <c r="F970" s="7"/>
      <c r="G970" s="7"/>
      <c r="H970" s="7"/>
      <c r="I970" s="7"/>
      <c r="J970" s="7"/>
      <c r="K970" s="7"/>
      <c r="L970" s="7"/>
      <c r="M970" s="7"/>
      <c r="N970" s="7"/>
      <c r="O970" s="7"/>
      <c r="P970" s="7"/>
      <c r="Q970" s="7"/>
      <c r="R970" s="7"/>
      <c r="S970" s="7"/>
      <c r="T970" s="7"/>
      <c r="U970" s="7"/>
      <c r="V970" s="7"/>
      <c r="W970" s="7"/>
      <c r="X970" s="7"/>
      <c r="Y970" s="7"/>
    </row>
    <row r="971" spans="3:25" x14ac:dyDescent="0.2">
      <c r="C971" s="7"/>
      <c r="D971" s="7"/>
      <c r="E971" s="7"/>
      <c r="F971" s="7"/>
      <c r="G971" s="7"/>
      <c r="H971" s="7"/>
      <c r="I971" s="7"/>
      <c r="J971" s="7"/>
      <c r="K971" s="7"/>
      <c r="L971" s="7"/>
      <c r="M971" s="7"/>
      <c r="N971" s="7"/>
      <c r="O971" s="7"/>
      <c r="P971" s="7"/>
      <c r="Q971" s="7"/>
      <c r="R971" s="7"/>
      <c r="S971" s="7"/>
      <c r="T971" s="7"/>
      <c r="U971" s="7"/>
      <c r="V971" s="7"/>
      <c r="W971" s="7"/>
      <c r="X971" s="7"/>
      <c r="Y971" s="7"/>
    </row>
    <row r="972" spans="3:25" x14ac:dyDescent="0.2">
      <c r="C972" s="7"/>
      <c r="D972" s="7"/>
      <c r="E972" s="7"/>
      <c r="F972" s="7"/>
      <c r="G972" s="7"/>
      <c r="H972" s="7"/>
      <c r="I972" s="7"/>
      <c r="J972" s="7"/>
      <c r="K972" s="7"/>
      <c r="L972" s="7"/>
      <c r="M972" s="7"/>
      <c r="N972" s="7"/>
      <c r="O972" s="7"/>
      <c r="P972" s="7"/>
      <c r="Q972" s="7"/>
      <c r="R972" s="7"/>
      <c r="S972" s="7"/>
      <c r="T972" s="7"/>
      <c r="U972" s="7"/>
      <c r="V972" s="7"/>
      <c r="W972" s="7"/>
      <c r="X972" s="7"/>
      <c r="Y972" s="7"/>
    </row>
    <row r="973" spans="3:25" x14ac:dyDescent="0.2">
      <c r="C973" s="7"/>
      <c r="D973" s="7"/>
      <c r="E973" s="7"/>
      <c r="F973" s="7"/>
      <c r="G973" s="7"/>
      <c r="H973" s="7"/>
      <c r="I973" s="7"/>
      <c r="J973" s="7"/>
      <c r="K973" s="7"/>
      <c r="L973" s="7"/>
      <c r="M973" s="7"/>
      <c r="N973" s="7"/>
      <c r="O973" s="7"/>
      <c r="P973" s="7"/>
      <c r="Q973" s="7"/>
      <c r="R973" s="7"/>
      <c r="S973" s="7"/>
      <c r="T973" s="7"/>
      <c r="U973" s="7"/>
      <c r="V973" s="7"/>
      <c r="W973" s="7"/>
      <c r="X973" s="7"/>
      <c r="Y973" s="7"/>
    </row>
    <row r="974" spans="3:25" x14ac:dyDescent="0.2">
      <c r="C974" s="7"/>
      <c r="D974" s="7"/>
      <c r="E974" s="7"/>
      <c r="F974" s="7"/>
      <c r="G974" s="7"/>
      <c r="H974" s="7"/>
      <c r="I974" s="7"/>
      <c r="J974" s="7"/>
      <c r="K974" s="7"/>
      <c r="L974" s="7"/>
      <c r="M974" s="7"/>
      <c r="N974" s="7"/>
      <c r="O974" s="7"/>
      <c r="P974" s="7"/>
      <c r="Q974" s="7"/>
      <c r="R974" s="7"/>
      <c r="S974" s="7"/>
      <c r="T974" s="7"/>
      <c r="U974" s="7"/>
      <c r="V974" s="7"/>
      <c r="W974" s="7"/>
      <c r="X974" s="7"/>
      <c r="Y974" s="7"/>
    </row>
    <row r="975" spans="3:25" x14ac:dyDescent="0.2">
      <c r="C975" s="7"/>
      <c r="D975" s="7"/>
      <c r="E975" s="7"/>
      <c r="F975" s="7"/>
      <c r="G975" s="7"/>
      <c r="H975" s="7"/>
      <c r="I975" s="7"/>
      <c r="J975" s="7"/>
      <c r="K975" s="7"/>
      <c r="L975" s="7"/>
      <c r="M975" s="7"/>
      <c r="N975" s="7"/>
      <c r="O975" s="7"/>
      <c r="P975" s="7"/>
      <c r="Q975" s="7"/>
      <c r="R975" s="7"/>
      <c r="S975" s="7"/>
      <c r="T975" s="7"/>
      <c r="U975" s="7"/>
      <c r="V975" s="7"/>
      <c r="W975" s="7"/>
      <c r="X975" s="7"/>
      <c r="Y975" s="7"/>
    </row>
    <row r="976" spans="3:25" x14ac:dyDescent="0.2">
      <c r="C976" s="7"/>
      <c r="D976" s="7"/>
      <c r="E976" s="7"/>
      <c r="F976" s="7"/>
      <c r="G976" s="7"/>
      <c r="H976" s="7"/>
      <c r="I976" s="7"/>
      <c r="J976" s="7"/>
      <c r="K976" s="7"/>
      <c r="L976" s="7"/>
      <c r="M976" s="7"/>
      <c r="N976" s="7"/>
      <c r="O976" s="7"/>
      <c r="P976" s="7"/>
      <c r="Q976" s="7"/>
      <c r="R976" s="7"/>
      <c r="S976" s="7"/>
      <c r="T976" s="7"/>
      <c r="U976" s="7"/>
      <c r="V976" s="7"/>
      <c r="W976" s="7"/>
      <c r="X976" s="7"/>
      <c r="Y976" s="7"/>
    </row>
    <row r="977" spans="3:25" x14ac:dyDescent="0.2">
      <c r="C977" s="7"/>
      <c r="D977" s="7"/>
      <c r="E977" s="7"/>
      <c r="F977" s="7"/>
      <c r="G977" s="7"/>
      <c r="H977" s="7"/>
      <c r="I977" s="7"/>
      <c r="J977" s="7"/>
      <c r="K977" s="7"/>
      <c r="L977" s="7"/>
      <c r="M977" s="7"/>
      <c r="N977" s="7"/>
      <c r="O977" s="7"/>
      <c r="P977" s="7"/>
      <c r="Q977" s="7"/>
      <c r="R977" s="7"/>
      <c r="S977" s="7"/>
      <c r="T977" s="7"/>
      <c r="U977" s="7"/>
      <c r="V977" s="7"/>
      <c r="W977" s="7"/>
      <c r="X977" s="7"/>
      <c r="Y977" s="7"/>
    </row>
    <row r="978" spans="3:25" x14ac:dyDescent="0.2">
      <c r="C978" s="7"/>
      <c r="D978" s="7"/>
      <c r="E978" s="7"/>
      <c r="F978" s="7"/>
      <c r="G978" s="7"/>
      <c r="H978" s="7"/>
      <c r="I978" s="7"/>
      <c r="J978" s="7"/>
      <c r="K978" s="7"/>
      <c r="L978" s="7"/>
      <c r="M978" s="7"/>
      <c r="N978" s="7"/>
      <c r="O978" s="7"/>
      <c r="P978" s="7"/>
      <c r="Q978" s="7"/>
      <c r="R978" s="7"/>
      <c r="S978" s="7"/>
      <c r="T978" s="7"/>
      <c r="U978" s="7"/>
      <c r="V978" s="7"/>
      <c r="W978" s="7"/>
      <c r="X978" s="7"/>
      <c r="Y978" s="7"/>
    </row>
    <row r="979" spans="3:25" x14ac:dyDescent="0.2">
      <c r="C979" s="7"/>
      <c r="D979" s="7"/>
      <c r="E979" s="7"/>
      <c r="F979" s="7"/>
      <c r="G979" s="7"/>
      <c r="H979" s="7"/>
      <c r="I979" s="7"/>
      <c r="J979" s="7"/>
      <c r="K979" s="7"/>
      <c r="L979" s="7"/>
      <c r="M979" s="7"/>
      <c r="N979" s="7"/>
      <c r="O979" s="7"/>
      <c r="P979" s="7"/>
      <c r="Q979" s="7"/>
      <c r="R979" s="7"/>
      <c r="S979" s="7"/>
      <c r="T979" s="7"/>
      <c r="U979" s="7"/>
      <c r="V979" s="7"/>
      <c r="W979" s="7"/>
      <c r="X979" s="7"/>
      <c r="Y979" s="7"/>
    </row>
    <row r="980" spans="3:25" x14ac:dyDescent="0.2">
      <c r="C980" s="7"/>
      <c r="D980" s="7"/>
      <c r="E980" s="7"/>
      <c r="F980" s="7"/>
      <c r="G980" s="7"/>
      <c r="H980" s="7"/>
      <c r="I980" s="7"/>
      <c r="J980" s="7"/>
      <c r="K980" s="7"/>
      <c r="L980" s="7"/>
      <c r="M980" s="7"/>
      <c r="N980" s="7"/>
      <c r="O980" s="7"/>
      <c r="P980" s="7"/>
      <c r="Q980" s="7"/>
      <c r="R980" s="7"/>
      <c r="S980" s="7"/>
      <c r="T980" s="7"/>
      <c r="U980" s="7"/>
      <c r="V980" s="7"/>
      <c r="W980" s="7"/>
      <c r="X980" s="7"/>
      <c r="Y980" s="7"/>
    </row>
    <row r="981" spans="3:25" x14ac:dyDescent="0.2">
      <c r="C981" s="7"/>
      <c r="D981" s="7"/>
      <c r="E981" s="7"/>
      <c r="F981" s="7"/>
      <c r="G981" s="7"/>
      <c r="H981" s="7"/>
      <c r="I981" s="7"/>
      <c r="J981" s="7"/>
      <c r="K981" s="7"/>
      <c r="L981" s="7"/>
      <c r="M981" s="7"/>
      <c r="N981" s="7"/>
      <c r="O981" s="7"/>
      <c r="P981" s="7"/>
      <c r="Q981" s="7"/>
      <c r="R981" s="7"/>
      <c r="S981" s="7"/>
      <c r="T981" s="7"/>
      <c r="U981" s="7"/>
      <c r="V981" s="7"/>
      <c r="W981" s="7"/>
      <c r="X981" s="7"/>
      <c r="Y981" s="7"/>
    </row>
    <row r="982" spans="3:25" x14ac:dyDescent="0.2">
      <c r="C982" s="7"/>
      <c r="D982" s="7"/>
      <c r="E982" s="7"/>
      <c r="F982" s="7"/>
      <c r="G982" s="7"/>
      <c r="H982" s="7"/>
      <c r="I982" s="7"/>
      <c r="J982" s="7"/>
      <c r="K982" s="7"/>
      <c r="L982" s="7"/>
      <c r="M982" s="7"/>
      <c r="N982" s="7"/>
      <c r="O982" s="7"/>
      <c r="P982" s="7"/>
      <c r="Q982" s="7"/>
      <c r="R982" s="7"/>
      <c r="S982" s="7"/>
      <c r="T982" s="7"/>
      <c r="U982" s="7"/>
      <c r="V982" s="7"/>
      <c r="W982" s="7"/>
      <c r="X982" s="7"/>
      <c r="Y982" s="7"/>
    </row>
    <row r="983" spans="3:25" x14ac:dyDescent="0.2">
      <c r="C983" s="7"/>
      <c r="D983" s="7"/>
      <c r="E983" s="7"/>
      <c r="F983" s="7"/>
      <c r="G983" s="7"/>
      <c r="H983" s="7"/>
      <c r="I983" s="7"/>
      <c r="J983" s="7"/>
      <c r="K983" s="7"/>
      <c r="L983" s="7"/>
      <c r="M983" s="7"/>
      <c r="N983" s="7"/>
      <c r="O983" s="7"/>
      <c r="P983" s="7"/>
      <c r="Q983" s="7"/>
      <c r="R983" s="7"/>
      <c r="S983" s="7"/>
      <c r="T983" s="7"/>
      <c r="U983" s="7"/>
      <c r="V983" s="7"/>
      <c r="W983" s="7"/>
      <c r="X983" s="7"/>
      <c r="Y983" s="7"/>
    </row>
    <row r="984" spans="3:25" x14ac:dyDescent="0.2">
      <c r="C984" s="7"/>
      <c r="D984" s="7"/>
      <c r="E984" s="7"/>
      <c r="F984" s="7"/>
      <c r="G984" s="7"/>
      <c r="H984" s="7"/>
      <c r="I984" s="7"/>
      <c r="J984" s="7"/>
      <c r="K984" s="7"/>
      <c r="L984" s="7"/>
      <c r="M984" s="7"/>
      <c r="N984" s="7"/>
      <c r="O984" s="7"/>
      <c r="P984" s="7"/>
      <c r="Q984" s="7"/>
      <c r="R984" s="7"/>
      <c r="S984" s="7"/>
      <c r="T984" s="7"/>
      <c r="U984" s="7"/>
      <c r="V984" s="7"/>
      <c r="W984" s="7"/>
      <c r="X984" s="7"/>
      <c r="Y984" s="7"/>
    </row>
    <row r="985" spans="3:25" x14ac:dyDescent="0.2">
      <c r="C985" s="7"/>
      <c r="D985" s="7"/>
      <c r="E985" s="7"/>
      <c r="F985" s="7"/>
      <c r="G985" s="7"/>
      <c r="H985" s="7"/>
      <c r="I985" s="7"/>
      <c r="J985" s="7"/>
      <c r="K985" s="7"/>
      <c r="L985" s="7"/>
      <c r="M985" s="7"/>
      <c r="N985" s="7"/>
      <c r="O985" s="7"/>
      <c r="P985" s="7"/>
      <c r="Q985" s="7"/>
      <c r="R985" s="7"/>
      <c r="S985" s="7"/>
      <c r="T985" s="7"/>
      <c r="U985" s="7"/>
      <c r="V985" s="7"/>
      <c r="W985" s="7"/>
      <c r="X985" s="7"/>
      <c r="Y985" s="7"/>
    </row>
    <row r="986" spans="3:25" x14ac:dyDescent="0.2">
      <c r="C986" s="7"/>
      <c r="D986" s="7"/>
      <c r="E986" s="7"/>
      <c r="F986" s="7"/>
      <c r="G986" s="7"/>
      <c r="H986" s="7"/>
      <c r="I986" s="7"/>
      <c r="J986" s="7"/>
      <c r="K986" s="7"/>
      <c r="L986" s="7"/>
      <c r="M986" s="7"/>
      <c r="N986" s="7"/>
      <c r="O986" s="7"/>
      <c r="P986" s="7"/>
      <c r="Q986" s="7"/>
      <c r="R986" s="7"/>
      <c r="S986" s="7"/>
      <c r="T986" s="7"/>
      <c r="U986" s="7"/>
      <c r="V986" s="7"/>
      <c r="W986" s="7"/>
      <c r="X986" s="7"/>
      <c r="Y986" s="7"/>
    </row>
    <row r="987" spans="3:25" x14ac:dyDescent="0.2">
      <c r="C987" s="7"/>
      <c r="D987" s="7"/>
      <c r="E987" s="7"/>
      <c r="F987" s="7"/>
      <c r="G987" s="7"/>
      <c r="H987" s="7"/>
      <c r="I987" s="7"/>
      <c r="J987" s="7"/>
      <c r="K987" s="7"/>
      <c r="L987" s="7"/>
      <c r="M987" s="7"/>
      <c r="N987" s="7"/>
      <c r="O987" s="7"/>
      <c r="P987" s="7"/>
      <c r="Q987" s="7"/>
      <c r="R987" s="7"/>
      <c r="S987" s="7"/>
      <c r="T987" s="7"/>
      <c r="U987" s="7"/>
      <c r="V987" s="7"/>
      <c r="W987" s="7"/>
      <c r="X987" s="7"/>
      <c r="Y987" s="7"/>
    </row>
    <row r="988" spans="3:25" x14ac:dyDescent="0.2">
      <c r="C988" s="7"/>
      <c r="D988" s="7"/>
      <c r="E988" s="7"/>
      <c r="F988" s="7"/>
      <c r="G988" s="7"/>
      <c r="H988" s="7"/>
      <c r="I988" s="7"/>
      <c r="J988" s="7"/>
      <c r="K988" s="7"/>
      <c r="L988" s="7"/>
      <c r="M988" s="7"/>
      <c r="N988" s="7"/>
      <c r="O988" s="7"/>
      <c r="P988" s="7"/>
      <c r="Q988" s="7"/>
      <c r="R988" s="7"/>
      <c r="S988" s="7"/>
      <c r="T988" s="7"/>
      <c r="U988" s="7"/>
      <c r="V988" s="7"/>
      <c r="W988" s="7"/>
      <c r="X988" s="7"/>
      <c r="Y988" s="7"/>
    </row>
    <row r="989" spans="3:25" x14ac:dyDescent="0.2">
      <c r="C989" s="7"/>
      <c r="D989" s="7"/>
      <c r="E989" s="7"/>
      <c r="F989" s="7"/>
      <c r="G989" s="7"/>
      <c r="H989" s="7"/>
      <c r="I989" s="7"/>
      <c r="J989" s="7"/>
      <c r="K989" s="7"/>
      <c r="L989" s="7"/>
      <c r="M989" s="7"/>
      <c r="N989" s="7"/>
      <c r="O989" s="7"/>
      <c r="P989" s="7"/>
      <c r="Q989" s="7"/>
      <c r="R989" s="7"/>
      <c r="S989" s="7"/>
      <c r="T989" s="7"/>
      <c r="U989" s="7"/>
      <c r="V989" s="7"/>
      <c r="W989" s="7"/>
      <c r="X989" s="7"/>
      <c r="Y989" s="7"/>
    </row>
    <row r="990" spans="3:25" x14ac:dyDescent="0.2">
      <c r="C990" s="7"/>
      <c r="D990" s="7"/>
      <c r="E990" s="7"/>
      <c r="F990" s="7"/>
      <c r="G990" s="7"/>
      <c r="H990" s="7"/>
      <c r="I990" s="7"/>
      <c r="J990" s="7"/>
      <c r="K990" s="7"/>
      <c r="L990" s="7"/>
      <c r="M990" s="7"/>
      <c r="N990" s="7"/>
      <c r="O990" s="7"/>
      <c r="P990" s="7"/>
      <c r="Q990" s="7"/>
      <c r="R990" s="7"/>
      <c r="S990" s="7"/>
      <c r="T990" s="7"/>
      <c r="U990" s="7"/>
      <c r="V990" s="7"/>
      <c r="W990" s="7"/>
      <c r="X990" s="7"/>
      <c r="Y990" s="7"/>
    </row>
    <row r="991" spans="3:25" x14ac:dyDescent="0.2">
      <c r="C991" s="7"/>
      <c r="D991" s="7"/>
      <c r="E991" s="7"/>
      <c r="F991" s="7"/>
      <c r="G991" s="7"/>
      <c r="H991" s="7"/>
      <c r="I991" s="7"/>
      <c r="J991" s="7"/>
      <c r="K991" s="7"/>
      <c r="L991" s="7"/>
      <c r="M991" s="7"/>
      <c r="N991" s="7"/>
      <c r="O991" s="7"/>
      <c r="P991" s="7"/>
      <c r="Q991" s="7"/>
      <c r="R991" s="7"/>
      <c r="S991" s="7"/>
      <c r="T991" s="7"/>
      <c r="U991" s="7"/>
      <c r="V991" s="7"/>
      <c r="W991" s="7"/>
      <c r="X991" s="7"/>
      <c r="Y991" s="7"/>
    </row>
    <row r="992" spans="3:25" x14ac:dyDescent="0.2">
      <c r="C992" s="7"/>
      <c r="D992" s="7"/>
      <c r="E992" s="7"/>
      <c r="F992" s="7"/>
      <c r="G992" s="7"/>
      <c r="H992" s="7"/>
      <c r="I992" s="7"/>
      <c r="J992" s="7"/>
      <c r="K992" s="7"/>
      <c r="L992" s="7"/>
      <c r="M992" s="7"/>
      <c r="N992" s="7"/>
      <c r="O992" s="7"/>
      <c r="P992" s="7"/>
      <c r="Q992" s="7"/>
      <c r="R992" s="7"/>
      <c r="S992" s="7"/>
      <c r="T992" s="7"/>
      <c r="U992" s="7"/>
      <c r="V992" s="7"/>
      <c r="W992" s="7"/>
      <c r="X992" s="7"/>
      <c r="Y992" s="7"/>
    </row>
    <row r="993" spans="3:25" x14ac:dyDescent="0.2">
      <c r="C993" s="7"/>
      <c r="D993" s="7"/>
      <c r="E993" s="7"/>
      <c r="F993" s="7"/>
      <c r="G993" s="7"/>
      <c r="H993" s="7"/>
      <c r="I993" s="7"/>
      <c r="J993" s="7"/>
      <c r="K993" s="7"/>
      <c r="L993" s="7"/>
      <c r="M993" s="7"/>
      <c r="N993" s="7"/>
      <c r="O993" s="7"/>
      <c r="P993" s="7"/>
      <c r="Q993" s="7"/>
      <c r="R993" s="7"/>
      <c r="S993" s="7"/>
      <c r="T993" s="7"/>
      <c r="U993" s="7"/>
      <c r="V993" s="7"/>
      <c r="W993" s="7"/>
      <c r="X993" s="7"/>
      <c r="Y993" s="7"/>
    </row>
    <row r="994" spans="3:25" x14ac:dyDescent="0.2">
      <c r="C994" s="7"/>
      <c r="D994" s="7"/>
      <c r="E994" s="7"/>
      <c r="F994" s="7"/>
      <c r="G994" s="7"/>
      <c r="H994" s="7"/>
      <c r="I994" s="7"/>
      <c r="J994" s="7"/>
      <c r="K994" s="7"/>
      <c r="L994" s="7"/>
      <c r="M994" s="7"/>
      <c r="N994" s="7"/>
      <c r="O994" s="7"/>
      <c r="P994" s="7"/>
      <c r="Q994" s="7"/>
      <c r="R994" s="7"/>
      <c r="S994" s="7"/>
      <c r="T994" s="7"/>
      <c r="U994" s="7"/>
      <c r="V994" s="7"/>
      <c r="W994" s="7"/>
      <c r="X994" s="7"/>
      <c r="Y994" s="7"/>
    </row>
    <row r="995" spans="3:25" x14ac:dyDescent="0.2">
      <c r="C995" s="7"/>
      <c r="D995" s="7"/>
      <c r="E995" s="7"/>
      <c r="F995" s="7"/>
      <c r="G995" s="7"/>
      <c r="H995" s="7"/>
      <c r="I995" s="7"/>
      <c r="J995" s="7"/>
      <c r="K995" s="7"/>
      <c r="L995" s="7"/>
      <c r="M995" s="7"/>
      <c r="N995" s="7"/>
      <c r="O995" s="7"/>
      <c r="P995" s="7"/>
      <c r="Q995" s="7"/>
      <c r="R995" s="7"/>
      <c r="S995" s="7"/>
      <c r="T995" s="7"/>
      <c r="U995" s="7"/>
      <c r="V995" s="7"/>
      <c r="W995" s="7"/>
      <c r="X995" s="7"/>
      <c r="Y995" s="7"/>
    </row>
    <row r="996" spans="3:25" x14ac:dyDescent="0.2">
      <c r="C996" s="7"/>
      <c r="D996" s="7"/>
      <c r="E996" s="7"/>
      <c r="F996" s="7"/>
      <c r="G996" s="7"/>
      <c r="H996" s="7"/>
      <c r="I996" s="7"/>
      <c r="J996" s="7"/>
      <c r="K996" s="7"/>
      <c r="L996" s="7"/>
      <c r="M996" s="7"/>
      <c r="N996" s="7"/>
      <c r="O996" s="7"/>
      <c r="P996" s="7"/>
      <c r="Q996" s="7"/>
      <c r="R996" s="7"/>
      <c r="S996" s="7"/>
      <c r="T996" s="7"/>
      <c r="U996" s="7"/>
      <c r="V996" s="7"/>
      <c r="W996" s="7"/>
      <c r="X996" s="7"/>
      <c r="Y996" s="7"/>
    </row>
    <row r="997" spans="3:25" x14ac:dyDescent="0.2">
      <c r="C997" s="7"/>
      <c r="D997" s="7"/>
      <c r="E997" s="7"/>
      <c r="F997" s="7"/>
      <c r="G997" s="7"/>
      <c r="H997" s="7"/>
      <c r="I997" s="7"/>
      <c r="J997" s="7"/>
      <c r="K997" s="7"/>
      <c r="L997" s="7"/>
      <c r="M997" s="7"/>
      <c r="N997" s="7"/>
      <c r="O997" s="7"/>
      <c r="P997" s="7"/>
      <c r="Q997" s="7"/>
      <c r="R997" s="7"/>
      <c r="S997" s="7"/>
      <c r="T997" s="7"/>
      <c r="U997" s="7"/>
      <c r="V997" s="7"/>
      <c r="W997" s="7"/>
      <c r="X997" s="7"/>
      <c r="Y997" s="7"/>
    </row>
    <row r="998" spans="3:25" x14ac:dyDescent="0.2">
      <c r="C998" s="7"/>
      <c r="D998" s="7"/>
      <c r="E998" s="7"/>
      <c r="F998" s="7"/>
      <c r="G998" s="7"/>
      <c r="H998" s="7"/>
      <c r="I998" s="7"/>
      <c r="J998" s="7"/>
      <c r="K998" s="7"/>
      <c r="L998" s="7"/>
      <c r="M998" s="7"/>
      <c r="N998" s="7"/>
      <c r="O998" s="7"/>
      <c r="P998" s="7"/>
      <c r="Q998" s="7"/>
      <c r="R998" s="7"/>
      <c r="S998" s="7"/>
      <c r="T998" s="7"/>
      <c r="U998" s="7"/>
      <c r="V998" s="7"/>
      <c r="W998" s="7"/>
      <c r="X998" s="7"/>
      <c r="Y998" s="7"/>
    </row>
    <row r="999" spans="3:25" x14ac:dyDescent="0.2">
      <c r="C999" s="7"/>
      <c r="D999" s="7"/>
      <c r="E999" s="7"/>
      <c r="F999" s="7"/>
      <c r="G999" s="7"/>
      <c r="H999" s="7"/>
      <c r="I999" s="7"/>
      <c r="J999" s="7"/>
      <c r="K999" s="7"/>
      <c r="L999" s="7"/>
      <c r="M999" s="7"/>
      <c r="N999" s="7"/>
      <c r="O999" s="7"/>
      <c r="P999" s="7"/>
      <c r="Q999" s="7"/>
      <c r="R999" s="7"/>
      <c r="S999" s="7"/>
      <c r="T999" s="7"/>
      <c r="U999" s="7"/>
      <c r="V999" s="7"/>
      <c r="W999" s="7"/>
      <c r="X999" s="7"/>
      <c r="Y999" s="7"/>
    </row>
    <row r="1000" spans="3:25" x14ac:dyDescent="0.2">
      <c r="C1000" s="7"/>
      <c r="D1000" s="7"/>
      <c r="E1000" s="7"/>
      <c r="F1000" s="7"/>
      <c r="G1000" s="7"/>
      <c r="H1000" s="7"/>
      <c r="I1000" s="7"/>
      <c r="J1000" s="7"/>
      <c r="K1000" s="7"/>
      <c r="L1000" s="7"/>
      <c r="M1000" s="7"/>
      <c r="N1000" s="7"/>
      <c r="O1000" s="7"/>
      <c r="P1000" s="7"/>
      <c r="Q1000" s="7"/>
      <c r="R1000" s="7"/>
      <c r="S1000" s="7"/>
      <c r="T1000" s="7"/>
      <c r="U1000" s="7"/>
      <c r="V1000" s="7"/>
      <c r="W1000" s="7"/>
      <c r="X1000" s="7"/>
      <c r="Y1000" s="7"/>
    </row>
    <row r="1001" spans="3:25" x14ac:dyDescent="0.2">
      <c r="C1001" s="7"/>
      <c r="D1001" s="7"/>
      <c r="E1001" s="7"/>
      <c r="F1001" s="7"/>
      <c r="G1001" s="7"/>
      <c r="H1001" s="7"/>
      <c r="I1001" s="7"/>
      <c r="J1001" s="7"/>
      <c r="K1001" s="7"/>
      <c r="L1001" s="7"/>
      <c r="M1001" s="7"/>
      <c r="N1001" s="7"/>
      <c r="O1001" s="7"/>
      <c r="P1001" s="7"/>
      <c r="Q1001" s="7"/>
      <c r="R1001" s="7"/>
      <c r="S1001" s="7"/>
      <c r="T1001" s="7"/>
      <c r="U1001" s="7"/>
      <c r="V1001" s="7"/>
      <c r="W1001" s="7"/>
      <c r="X1001" s="7"/>
      <c r="Y1001" s="7"/>
    </row>
  </sheetData>
  <autoFilter ref="I1:K93" xr:uid="{00000000-0009-0000-0000-000003000000}"/>
  <mergeCells count="43">
    <mergeCell ref="J12:J13"/>
    <mergeCell ref="I12:I13"/>
    <mergeCell ref="I14:I15"/>
    <mergeCell ref="J14:J15"/>
    <mergeCell ref="I3:I5"/>
    <mergeCell ref="J3:J5"/>
    <mergeCell ref="I6:I11"/>
    <mergeCell ref="J6:J11"/>
    <mergeCell ref="I16:I18"/>
    <mergeCell ref="J16:J18"/>
    <mergeCell ref="I19:I21"/>
    <mergeCell ref="J19:J21"/>
    <mergeCell ref="I22:I26"/>
    <mergeCell ref="J22:J26"/>
    <mergeCell ref="A2:B2"/>
    <mergeCell ref="J84:J87"/>
    <mergeCell ref="J40:J42"/>
    <mergeCell ref="J43:J44"/>
    <mergeCell ref="J45:J46"/>
    <mergeCell ref="J47:J50"/>
    <mergeCell ref="J51:J54"/>
    <mergeCell ref="J55:J57"/>
    <mergeCell ref="J58:J62"/>
    <mergeCell ref="I58:I62"/>
    <mergeCell ref="I63:I68"/>
    <mergeCell ref="I69:I76"/>
    <mergeCell ref="I77:I83"/>
    <mergeCell ref="J63:J68"/>
    <mergeCell ref="J69:J76"/>
    <mergeCell ref="J77:J83"/>
    <mergeCell ref="I84:I87"/>
    <mergeCell ref="I27:I31"/>
    <mergeCell ref="J27:J31"/>
    <mergeCell ref="J37:J39"/>
    <mergeCell ref="I37:I39"/>
    <mergeCell ref="I40:I42"/>
    <mergeCell ref="I43:I44"/>
    <mergeCell ref="I45:I46"/>
    <mergeCell ref="I47:I50"/>
    <mergeCell ref="I51:I54"/>
    <mergeCell ref="I55:I57"/>
    <mergeCell ref="I32:I36"/>
    <mergeCell ref="J32:J36"/>
  </mergeCells>
  <conditionalFormatting sqref="G3:G66">
    <cfRule type="duplicateValues" dxfId="0" priority="1"/>
  </conditionalFormatting>
  <pageMargins left="0.7" right="0.7" top="0.75" bottom="0.75" header="0" footer="0"/>
  <pageSetup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3ECF8-7E6C-4499-A8E2-C4197DE81D05}">
  <dimension ref="A1"/>
  <sheetViews>
    <sheetView workbookViewId="0"/>
  </sheetViews>
  <sheetFormatPr baseColWidth="10" defaultColWidth="11"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Detallado del Gasto 2025-1</vt:lpstr>
      <vt:lpstr>Anexo 2024</vt:lpstr>
      <vt:lpstr>MATRIZ DE ACCIONES OPERATIVAS</vt:lpstr>
      <vt:lpstr>PAC 2024-2027</vt:lpstr>
      <vt:lpstr>PIP</vt:lpstr>
      <vt:lpstr>Articulación</vt:lpstr>
      <vt:lpstr>Actividades</vt:lpstr>
      <vt:lpstr>Hoja1</vt:lpstr>
      <vt:lpstr>PIP!Área_de_extracción</vt:lpstr>
      <vt:lpstr>'MATRIZ DE ACCIONES OPERATIVAS'!Área_de_impresión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Eliana Machado</dc:creator>
  <cp:keywords/>
  <dc:description/>
  <cp:lastModifiedBy>jose luis peñaranda toro</cp:lastModifiedBy>
  <cp:revision/>
  <dcterms:created xsi:type="dcterms:W3CDTF">2022-02-14T18:29:31Z</dcterms:created>
  <dcterms:modified xsi:type="dcterms:W3CDTF">2025-07-30T04:46:41Z</dcterms:modified>
  <cp:category/>
  <cp:contentStatus/>
</cp:coreProperties>
</file>